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Race to the Top\RT3 Evaluation\SROI\Drafts\Final Draft\"/>
    </mc:Choice>
  </mc:AlternateContent>
  <bookViews>
    <workbookView xWindow="0" yWindow="0" windowWidth="18645" windowHeight="11985"/>
  </bookViews>
  <sheets>
    <sheet name="impact map" sheetId="1" r:id="rId1"/>
  </sheets>
  <definedNames>
    <definedName name="_xlnm.Print_Titles" localSheetId="0">'impact map'!$A:$A,'impact map'!$4:$7</definedName>
  </definedNames>
  <calcPr calcId="152511"/>
</workbook>
</file>

<file path=xl/calcChain.xml><?xml version="1.0" encoding="utf-8"?>
<calcChain xmlns="http://schemas.openxmlformats.org/spreadsheetml/2006/main">
  <c r="D28" i="1" l="1"/>
  <c r="S22" i="1"/>
  <c r="V9" i="1"/>
  <c r="U9" i="1" l="1"/>
  <c r="AG9" i="1"/>
  <c r="AF9" i="1"/>
  <c r="AE9" i="1"/>
  <c r="AD9" i="1"/>
  <c r="AC9" i="1"/>
  <c r="AB9" i="1"/>
  <c r="D12" i="1"/>
  <c r="S9" i="1"/>
  <c r="M22" i="1" l="1"/>
  <c r="S25" i="1" l="1"/>
  <c r="AB25" i="1" s="1"/>
  <c r="V25" i="1" s="1"/>
  <c r="U25" i="1"/>
  <c r="AC25" i="1"/>
  <c r="AD25" i="1"/>
  <c r="W25" i="1" s="1"/>
  <c r="AE25" i="1"/>
  <c r="X25" i="1" s="1"/>
  <c r="AF25" i="1"/>
  <c r="Y25" i="1" s="1"/>
  <c r="AG25" i="1"/>
  <c r="Z25" i="1" s="1"/>
  <c r="M21" i="1" l="1"/>
  <c r="M20" i="1"/>
  <c r="M19" i="1"/>
  <c r="M18" i="1"/>
  <c r="S17" i="1" l="1"/>
  <c r="S15" i="1"/>
  <c r="AB15" i="1" s="1"/>
  <c r="V15" i="1" s="1"/>
  <c r="S12" i="1"/>
  <c r="S13" i="1"/>
  <c r="S14" i="1"/>
  <c r="AC14" i="1" s="1"/>
  <c r="S16" i="1"/>
  <c r="S18" i="1"/>
  <c r="S19" i="1"/>
  <c r="S20" i="1"/>
  <c r="S21" i="1"/>
  <c r="AD14" i="1"/>
  <c r="W14" i="1" s="1"/>
  <c r="AE14" i="1"/>
  <c r="X14" i="1" s="1"/>
  <c r="AF14" i="1"/>
  <c r="Y14" i="1" s="1"/>
  <c r="AG14" i="1"/>
  <c r="Z14" i="1" s="1"/>
  <c r="AD15" i="1"/>
  <c r="W15" i="1" s="1"/>
  <c r="AE15" i="1"/>
  <c r="X15" i="1" s="1"/>
  <c r="AF15" i="1"/>
  <c r="Y15" i="1" s="1"/>
  <c r="AG15" i="1"/>
  <c r="Z15" i="1" s="1"/>
  <c r="AC16" i="1"/>
  <c r="AD16" i="1"/>
  <c r="W16" i="1" s="1"/>
  <c r="AE16" i="1"/>
  <c r="X16" i="1" s="1"/>
  <c r="AF16" i="1"/>
  <c r="Y16" i="1" s="1"/>
  <c r="AG16" i="1"/>
  <c r="Z16" i="1" s="1"/>
  <c r="U14" i="1"/>
  <c r="U15" i="1"/>
  <c r="U16" i="1"/>
  <c r="AC15" i="1" l="1"/>
  <c r="AB14" i="1"/>
  <c r="V14" i="1" s="1"/>
  <c r="AD18" i="1"/>
  <c r="W18" i="1" s="1"/>
  <c r="AE18" i="1"/>
  <c r="AF18" i="1"/>
  <c r="Y18" i="1" s="1"/>
  <c r="AG18" i="1"/>
  <c r="Z18" i="1" s="1"/>
  <c r="AD19" i="1"/>
  <c r="W19" i="1" s="1"/>
  <c r="AE19" i="1"/>
  <c r="X19" i="1" s="1"/>
  <c r="AF19" i="1"/>
  <c r="Y19" i="1" s="1"/>
  <c r="AG19" i="1"/>
  <c r="Z19" i="1" s="1"/>
  <c r="AD20" i="1"/>
  <c r="W20" i="1" s="1"/>
  <c r="AE20" i="1"/>
  <c r="X20" i="1" s="1"/>
  <c r="AF20" i="1"/>
  <c r="Y20" i="1" s="1"/>
  <c r="AG20" i="1"/>
  <c r="Z20" i="1" s="1"/>
  <c r="AD21" i="1"/>
  <c r="W21" i="1" s="1"/>
  <c r="AE21" i="1"/>
  <c r="X21" i="1" s="1"/>
  <c r="AF21" i="1"/>
  <c r="Y21" i="1" s="1"/>
  <c r="AG21" i="1"/>
  <c r="Z21" i="1" s="1"/>
  <c r="AD22" i="1"/>
  <c r="W22" i="1" s="1"/>
  <c r="AE22" i="1"/>
  <c r="X22" i="1" s="1"/>
  <c r="AF22" i="1"/>
  <c r="Y22" i="1" s="1"/>
  <c r="AG22" i="1"/>
  <c r="Z22" i="1" s="1"/>
  <c r="U18" i="1"/>
  <c r="X18" i="1"/>
  <c r="U19" i="1"/>
  <c r="U20" i="1"/>
  <c r="U21" i="1"/>
  <c r="U22" i="1"/>
  <c r="AB22" i="1"/>
  <c r="V22" i="1" s="1"/>
  <c r="AB21" i="1"/>
  <c r="V21" i="1" s="1"/>
  <c r="AB16" i="1"/>
  <c r="V16" i="1" s="1"/>
  <c r="AB18" i="1"/>
  <c r="V18" i="1" s="1"/>
  <c r="AB19" i="1"/>
  <c r="V19" i="1" s="1"/>
  <c r="AB20" i="1"/>
  <c r="V20" i="1" s="1"/>
  <c r="AD24" i="1"/>
  <c r="W24" i="1" s="1"/>
  <c r="AE24" i="1"/>
  <c r="X24" i="1" s="1"/>
  <c r="AF24" i="1"/>
  <c r="Y24" i="1" s="1"/>
  <c r="AG24" i="1"/>
  <c r="Z24" i="1" s="1"/>
  <c r="U24" i="1"/>
  <c r="S24" i="1"/>
  <c r="AB24" i="1" s="1"/>
  <c r="V24" i="1" s="1"/>
  <c r="AC12" i="1"/>
  <c r="AD12" i="1"/>
  <c r="W12" i="1" s="1"/>
  <c r="AE12" i="1"/>
  <c r="X12" i="1" s="1"/>
  <c r="AF12" i="1"/>
  <c r="Y12" i="1" s="1"/>
  <c r="AG12" i="1"/>
  <c r="Z12" i="1" s="1"/>
  <c r="U12" i="1"/>
  <c r="AB12" i="1"/>
  <c r="V12" i="1" s="1"/>
  <c r="S23" i="1"/>
  <c r="AC22" i="1" l="1"/>
  <c r="AC21" i="1"/>
  <c r="AC19" i="1"/>
  <c r="AC20" i="1"/>
  <c r="AC18" i="1"/>
  <c r="AC24" i="1"/>
  <c r="W9" i="1"/>
  <c r="X9" i="1" l="1"/>
  <c r="AB13" i="1"/>
  <c r="V13" i="1" s="1"/>
  <c r="U13" i="1"/>
  <c r="AC13" i="1"/>
  <c r="AD13" i="1"/>
  <c r="W13" i="1" s="1"/>
  <c r="AE13" i="1"/>
  <c r="X13" i="1" s="1"/>
  <c r="AF13" i="1"/>
  <c r="Y13" i="1" s="1"/>
  <c r="AG13" i="1"/>
  <c r="Z13" i="1" s="1"/>
  <c r="Y9" i="1" l="1"/>
  <c r="AG26" i="1"/>
  <c r="Z26" i="1" s="1"/>
  <c r="AF26" i="1"/>
  <c r="Y26" i="1" s="1"/>
  <c r="AE26" i="1"/>
  <c r="X26" i="1" s="1"/>
  <c r="AD26" i="1"/>
  <c r="W26" i="1" s="1"/>
  <c r="AC26" i="1"/>
  <c r="U26" i="1"/>
  <c r="AB26" i="1"/>
  <c r="V26" i="1" s="1"/>
  <c r="AG23" i="1"/>
  <c r="Z23" i="1" s="1"/>
  <c r="AF23" i="1"/>
  <c r="Y23" i="1" s="1"/>
  <c r="AE23" i="1"/>
  <c r="X23" i="1" s="1"/>
  <c r="AD23" i="1"/>
  <c r="W23" i="1" s="1"/>
  <c r="AC23" i="1"/>
  <c r="U23" i="1"/>
  <c r="AB23" i="1"/>
  <c r="V23" i="1" s="1"/>
  <c r="AG17" i="1"/>
  <c r="Z17" i="1" s="1"/>
  <c r="AF17" i="1"/>
  <c r="Y17" i="1" s="1"/>
  <c r="AE17" i="1"/>
  <c r="X17" i="1" s="1"/>
  <c r="AD17" i="1"/>
  <c r="W17" i="1" s="1"/>
  <c r="AC17" i="1"/>
  <c r="U17" i="1"/>
  <c r="AB17" i="1"/>
  <c r="V17" i="1" s="1"/>
  <c r="AG8" i="1"/>
  <c r="Z8" i="1" s="1"/>
  <c r="AF8" i="1"/>
  <c r="Y8" i="1" s="1"/>
  <c r="AE8" i="1"/>
  <c r="X8" i="1" s="1"/>
  <c r="AD8" i="1"/>
  <c r="W8" i="1" s="1"/>
  <c r="AC8" i="1"/>
  <c r="U8" i="1"/>
  <c r="S8" i="1"/>
  <c r="AB8" i="1" s="1"/>
  <c r="V8" i="1" s="1"/>
  <c r="U28" i="1" l="1"/>
  <c r="U30" i="1" s="1"/>
  <c r="X28" i="1"/>
  <c r="X30" i="1" s="1"/>
  <c r="S28" i="1"/>
  <c r="V28" i="1"/>
  <c r="V30" i="1" s="1"/>
  <c r="W28" i="1"/>
  <c r="W30" i="1" s="1"/>
  <c r="Y28" i="1"/>
  <c r="Y30" i="1" s="1"/>
  <c r="Z9" i="1" l="1"/>
  <c r="Z28" i="1" s="1"/>
  <c r="Z30" i="1" s="1"/>
  <c r="Z31" i="1" s="1"/>
  <c r="Z34" i="1" s="1"/>
  <c r="Z32" i="1" l="1"/>
</calcChain>
</file>

<file path=xl/comments1.xml><?xml version="1.0" encoding="utf-8"?>
<comments xmlns="http://schemas.openxmlformats.org/spreadsheetml/2006/main">
  <authors>
    <author>Andrea Beesley</author>
    <author>Michaela Gulemetova</author>
    <author>Maria DiFuccia</author>
  </authors>
  <commentList>
    <comment ref="Q9" authorId="0" shapeId="0">
      <text>
        <r>
          <rPr>
            <sz val="9"/>
            <color indexed="81"/>
            <rFont val="Tahoma"/>
            <family val="2"/>
          </rPr>
          <t>Builds on previous development from IES and NSF funding</t>
        </r>
      </text>
    </comment>
    <comment ref="I14" authorId="1" shapeId="0">
      <text>
        <r>
          <rPr>
            <sz val="9"/>
            <color indexed="81"/>
            <rFont val="Tahoma"/>
            <charset val="1"/>
          </rPr>
          <t>22 is the total number of participating teachers over the life of the program. However, we lack evidence of how many have engaged in leadership and mentoring activities.  
To avoid overclaiming the impact of these outcomes and adding more complexity in the high and low end of the SROI calculation, here we assume that one in four or 25% of the 22 participating teachers spent an average of one week of their time mentoring other teachers and one week for taking leadership roles.
Thus 6 = 25% x 22.</t>
        </r>
      </text>
    </comment>
    <comment ref="M14" authorId="1" shapeId="0">
      <text>
        <r>
          <rPr>
            <sz val="9"/>
            <color indexed="81"/>
            <rFont val="Tahoma"/>
            <family val="2"/>
          </rPr>
          <t>Assuming 40h per week of average teacher salary in GA</t>
        </r>
      </text>
    </comment>
    <comment ref="I15" authorId="1" shapeId="0">
      <text>
        <r>
          <rPr>
            <sz val="9"/>
            <color indexed="81"/>
            <rFont val="Tahoma"/>
            <family val="2"/>
          </rPr>
          <t>22 is the total number of participating teachers over the life of the program. However, we lack evidence of how many have engaged in leadership and mentoring activities.  
To avoid overclaiming the impact of these outcomes and adding more complexity in the high and low end of the SROI calculation, here we assume that one in four or 25% of the 22 participating teachers spent an average of one week of their time mentoring other teachers and one week for taking leadership roles.
Thus 6 = 25% x 22.</t>
        </r>
      </text>
    </comment>
    <comment ref="J18" authorId="0" shapeId="0">
      <text>
        <r>
          <rPr>
            <sz val="9"/>
            <color indexed="81"/>
            <rFont val="Tahoma"/>
            <family val="2"/>
          </rPr>
          <t>Although the effects of education levels last a lifetime, we enter a duration of 1 year to avoid counting a lifetime-earnings unit more than once.</t>
        </r>
      </text>
    </comment>
    <comment ref="M18" authorId="1" shapeId="0">
      <text>
        <r>
          <rPr>
            <b/>
            <sz val="9"/>
            <color indexed="81"/>
            <rFont val="Tahoma"/>
            <family val="2"/>
          </rPr>
          <t>Michaela Gulemetova:</t>
        </r>
        <r>
          <rPr>
            <sz val="9"/>
            <color indexed="81"/>
            <rFont val="Tahoma"/>
            <family val="2"/>
          </rPr>
          <t xml:space="preserve">
difference between the lifetime earnings of high school graduates and dropouts</t>
        </r>
      </text>
    </comment>
    <comment ref="O18" authorId="1" shapeId="0">
      <text>
        <r>
          <rPr>
            <sz val="9"/>
            <color indexed="81"/>
            <rFont val="Tahoma"/>
            <charset val="1"/>
          </rPr>
          <t>Before the program, no students said they intended to get less than a high school diploma, so it is unlikely that the program made these students more likely to graduate.</t>
        </r>
      </text>
    </comment>
    <comment ref="I19" authorId="1" shapeId="0">
      <text>
        <r>
          <rPr>
            <sz val="9"/>
            <color indexed="81"/>
            <rFont val="Tahoma"/>
            <family val="2"/>
          </rPr>
          <t xml:space="preserve">High: number of students in the ASLQ in Summer 2013 and Summer 2014 who aspired to a two-year degree = </t>
        </r>
        <r>
          <rPr>
            <b/>
            <sz val="9"/>
            <color indexed="81"/>
            <rFont val="Tahoma"/>
            <family val="2"/>
          </rPr>
          <t>1</t>
        </r>
        <r>
          <rPr>
            <sz val="9"/>
            <color indexed="81"/>
            <rFont val="Tahoma"/>
            <family val="2"/>
          </rPr>
          <t xml:space="preserve">
Low: 1 x .33 (percentage of STEM students who graduate with a 2-year degree) = </t>
        </r>
        <r>
          <rPr>
            <b/>
            <sz val="9"/>
            <color indexed="81"/>
            <rFont val="Tahoma"/>
            <family val="2"/>
          </rPr>
          <t>0</t>
        </r>
      </text>
    </comment>
    <comment ref="M19" authorId="1" shapeId="0">
      <text>
        <r>
          <rPr>
            <b/>
            <sz val="9"/>
            <color indexed="81"/>
            <rFont val="Tahoma"/>
            <family val="2"/>
          </rPr>
          <t>Michaela Gulemetova:</t>
        </r>
        <r>
          <rPr>
            <sz val="9"/>
            <color indexed="81"/>
            <rFont val="Tahoma"/>
            <family val="2"/>
          </rPr>
          <t xml:space="preserve">
difference between the lifetime earnings of students with associates degrees and high school graduates minus the average student debt amount for 2-year degree</t>
        </r>
      </text>
    </comment>
    <comment ref="O19" authorId="1" shapeId="0">
      <text>
        <r>
          <rPr>
            <sz val="9"/>
            <color indexed="81"/>
            <rFont val="Tahoma"/>
            <family val="2"/>
          </rPr>
          <t>No students said they wanted to complete a two-year college before the program started, so we assume 0% deadweight</t>
        </r>
      </text>
    </comment>
    <comment ref="Q19" authorId="0" shapeId="0">
      <text>
        <r>
          <rPr>
            <sz val="9"/>
            <color indexed="81"/>
            <rFont val="Tahoma"/>
            <family val="2"/>
          </rPr>
          <t>While we agree that the ALSQ results show that students have changed their educational aspirations upward, the interviews revealed that the Morehouse program was targeted at self-selected students who were primarily already college-bound and are likely to have had other influential pre-college experiences. Therefore, in an effort not to over-claim its influence we estimated 50% attribution (motived by the relative intensity of the program during the summer months) to account for other possible influences on postsecondary plans during this time.</t>
        </r>
      </text>
    </comment>
    <comment ref="M20" authorId="1" shapeId="0">
      <text>
        <r>
          <rPr>
            <b/>
            <sz val="9"/>
            <color indexed="81"/>
            <rFont val="Tahoma"/>
            <family val="2"/>
          </rPr>
          <t>Michaela Gulemetova:</t>
        </r>
        <r>
          <rPr>
            <sz val="9"/>
            <color indexed="81"/>
            <rFont val="Tahoma"/>
            <family val="2"/>
          </rPr>
          <t xml:space="preserve">
difference between the lifetime earnings of students with bachelors and associates degrees minus the average student debt amount for 4-year degree</t>
        </r>
      </text>
    </comment>
    <comment ref="O20" authorId="1" shapeId="0">
      <text>
        <r>
          <rPr>
            <sz val="9"/>
            <color indexed="81"/>
            <rFont val="Tahoma"/>
            <charset val="1"/>
          </rPr>
          <t>Before the program, 24 students said they would get a four-year degree. We assume the ones who still intend to are those who originally did.</t>
        </r>
      </text>
    </comment>
    <comment ref="I21" authorId="1" shapeId="0">
      <text>
        <r>
          <rPr>
            <sz val="9"/>
            <color indexed="81"/>
            <rFont val="Tahoma"/>
            <family val="2"/>
          </rPr>
          <t xml:space="preserve">High: students who indicated on the ASLQ in Summer 2013 and Summer 2014 that they aspired to graduate school = </t>
        </r>
        <r>
          <rPr>
            <b/>
            <sz val="9"/>
            <color indexed="81"/>
            <rFont val="Tahoma"/>
            <family val="2"/>
          </rPr>
          <t>30</t>
        </r>
        <r>
          <rPr>
            <sz val="9"/>
            <color indexed="81"/>
            <rFont val="Tahoma"/>
            <family val="2"/>
          </rPr>
          <t xml:space="preserve">
Low: aspiring students (30) x .52 (STEM four-year graduation rate) x .66 (STEM master's degree  = </t>
        </r>
        <r>
          <rPr>
            <b/>
            <sz val="9"/>
            <color indexed="81"/>
            <rFont val="Tahoma"/>
            <family val="2"/>
          </rPr>
          <t>12</t>
        </r>
      </text>
    </comment>
    <comment ref="M21" authorId="1" shapeId="0">
      <text>
        <r>
          <rPr>
            <sz val="9"/>
            <color indexed="81"/>
            <rFont val="Tahoma"/>
            <family val="2"/>
          </rPr>
          <t>Difference between the lifetime earnings of students with bachelor's and master's degrees minus the average student debt amount for master's degree</t>
        </r>
      </text>
    </comment>
    <comment ref="O21" authorId="1" shapeId="0">
      <text>
        <r>
          <rPr>
            <sz val="9"/>
            <color indexed="81"/>
            <rFont val="Tahoma"/>
            <family val="2"/>
          </rPr>
          <t>24 out of the 30 students who said they wanted to complete graduate school had said so before the program, so we assume that they would have done so without the program (24/30 = 80%)</t>
        </r>
      </text>
    </comment>
    <comment ref="P21" authorId="0" shapeId="0">
      <text>
        <r>
          <rPr>
            <sz val="9"/>
            <color indexed="81"/>
            <rFont val="Tahoma"/>
            <family val="2"/>
          </rPr>
          <t>From student and parent interviews, we found that some students would have gone to a different STEM camp, while others would have worked or engaged in church activities. We include 10% displacement estimate for students who would have gone to another STEM camp, because other activities would not necessarily have had an effect on their postsecondary plans.</t>
        </r>
      </text>
    </comment>
    <comment ref="I22" authorId="1" shapeId="0">
      <text>
        <r>
          <rPr>
            <sz val="9"/>
            <color indexed="81"/>
            <rFont val="Tahoma"/>
            <family val="2"/>
          </rPr>
          <t xml:space="preserve">High: Students participating in the ASLQ in Summer 2013 and Summer 2014 who aspired to professional school = </t>
        </r>
        <r>
          <rPr>
            <b/>
            <sz val="9"/>
            <color indexed="81"/>
            <rFont val="Tahoma"/>
            <family val="2"/>
          </rPr>
          <t>41</t>
        </r>
        <r>
          <rPr>
            <sz val="9"/>
            <color indexed="81"/>
            <rFont val="Tahoma"/>
            <family val="2"/>
          </rPr>
          <t xml:space="preserve">
Low: Students participating in the ASLQ who indicated that they had changed their aspiration 41 x .52 (STEM four-year graduation rate) x .42 (med school acceptance rate) x .81 (graduation rate for med school) = </t>
        </r>
        <r>
          <rPr>
            <b/>
            <sz val="9"/>
            <color indexed="81"/>
            <rFont val="Tahoma"/>
            <family val="2"/>
          </rPr>
          <t>7</t>
        </r>
        <r>
          <rPr>
            <sz val="9"/>
            <color indexed="81"/>
            <rFont val="Tahoma"/>
            <family val="2"/>
          </rPr>
          <t xml:space="preserve">
</t>
        </r>
      </text>
    </comment>
    <comment ref="M22" authorId="2" shapeId="0">
      <text>
        <r>
          <rPr>
            <sz val="9"/>
            <color indexed="81"/>
            <rFont val="Tahoma"/>
            <family val="2"/>
          </rPr>
          <t>Total lifetiime earnings of a professional school grad minus the total lifetime earnings of a 4-year college grad minus the average student debt incurred for a professional degree</t>
        </r>
      </text>
    </comment>
    <comment ref="O22" authorId="1" shapeId="0">
      <text>
        <r>
          <rPr>
            <sz val="9"/>
            <color indexed="81"/>
            <rFont val="Tahoma"/>
            <family val="2"/>
          </rPr>
          <t>28 out of the 41 students who said they wanted to complete professional school had said so before the program, so we assume that they would have done so without the program (28/41 = 68%)</t>
        </r>
      </text>
    </comment>
    <comment ref="P22" authorId="0" shapeId="0">
      <text>
        <r>
          <rPr>
            <sz val="9"/>
            <color indexed="81"/>
            <rFont val="Tahoma"/>
            <family val="2"/>
          </rPr>
          <t>From student and parent interviews, we found that some students would have gone to a different STEM camp, while others would have worked or engaged in church activities. We include 10% displacement estimate for students who would have gone to another STEM camp, because other activities would not necessarily have had an effect on their postsecondary plans.</t>
        </r>
      </text>
    </comment>
    <comment ref="Q22" authorId="1" shapeId="0">
      <text>
        <r>
          <rPr>
            <sz val="9"/>
            <color indexed="81"/>
            <rFont val="Tahoma"/>
            <family val="2"/>
          </rPr>
          <t>While we agree that the ALSQ results show that students have changed their educational aspirations upward, the interviews revealed that the Morehouse program was targeted at self-selected students who were primarily already college-bound and are likely to have had other influential pre-college experiences. Therefore, in an effort not to over-claim its influence we estimated 50% attribution (motived by the relative intensity of the program during the summer months) to account for other possible influences on postsecondary plans during this time.</t>
        </r>
      </text>
    </comment>
    <comment ref="I24" authorId="1" shapeId="0">
      <text>
        <r>
          <rPr>
            <sz val="9"/>
            <color indexed="81"/>
            <rFont val="Tahoma"/>
            <family val="2"/>
          </rPr>
          <t>Total number of participant students in both summers is 81, but it is unlikely that all parents can afford a summer camp or have knowledge about existing ones, so we assume one tenth (8).</t>
        </r>
      </text>
    </comment>
    <comment ref="O24" authorId="0" shapeId="0">
      <text>
        <r>
          <rPr>
            <sz val="9"/>
            <color indexed="81"/>
            <rFont val="Tahoma"/>
            <family val="2"/>
          </rPr>
          <t>Adjustments applied in Quantity column to facilitate sensitivity analyses</t>
        </r>
      </text>
    </comment>
  </commentList>
</comments>
</file>

<file path=xl/sharedStrings.xml><?xml version="1.0" encoding="utf-8"?>
<sst xmlns="http://schemas.openxmlformats.org/spreadsheetml/2006/main" count="153" uniqueCount="122">
  <si>
    <t>Inputs</t>
  </si>
  <si>
    <t>Impact</t>
  </si>
  <si>
    <t>Description</t>
  </si>
  <si>
    <t>Indicator</t>
  </si>
  <si>
    <t>Source</t>
  </si>
  <si>
    <t>Duration</t>
  </si>
  <si>
    <t>Quantity</t>
  </si>
  <si>
    <t xml:space="preserve">    Calculating Social Return</t>
  </si>
  <si>
    <t>Total</t>
  </si>
  <si>
    <t>Present value of each year</t>
  </si>
  <si>
    <t>Total Present Value (PV)</t>
  </si>
  <si>
    <t>Year 1</t>
  </si>
  <si>
    <t>Year 2</t>
  </si>
  <si>
    <t>Year 3</t>
  </si>
  <si>
    <t>Year 4</t>
  </si>
  <si>
    <t>Year 5</t>
  </si>
  <si>
    <t>Stakeholders</t>
  </si>
  <si>
    <t>Attribution      %</t>
  </si>
  <si>
    <t>Displacement      %</t>
  </si>
  <si>
    <t>Deadweight      %</t>
  </si>
  <si>
    <t>Drop off         %</t>
  </si>
  <si>
    <t>Who else contributed to  the change?</t>
  </si>
  <si>
    <t>What activity did you displace?</t>
  </si>
  <si>
    <t>Does the outcome drop off in future years?</t>
  </si>
  <si>
    <t>Stage 1</t>
  </si>
  <si>
    <t>Stage 2</t>
  </si>
  <si>
    <t>Stage 3</t>
  </si>
  <si>
    <t>Stage 4</t>
  </si>
  <si>
    <t>Financial Proxy</t>
  </si>
  <si>
    <t>The Outcomes (what changes)</t>
  </si>
  <si>
    <t xml:space="preserve">  Discount rate</t>
  </si>
  <si>
    <t>What do you think will change for them?</t>
  </si>
  <si>
    <t>What do they invest?</t>
  </si>
  <si>
    <t>How would you measure it?</t>
  </si>
  <si>
    <t>Where did you get the information from?</t>
  </si>
  <si>
    <t>How much change was there?</t>
  </si>
  <si>
    <t>What proxy would you use to value the change?</t>
  </si>
  <si>
    <t>What would have happened without the activity?</t>
  </si>
  <si>
    <t>Quantity times financial proxy, less deadweight,displacement and attribution</t>
  </si>
  <si>
    <t xml:space="preserve">Net Present Value </t>
  </si>
  <si>
    <t>(PV minus the investment)</t>
  </si>
  <si>
    <t xml:space="preserve">Social Return </t>
  </si>
  <si>
    <t>How would the stakeholder describe the changes?</t>
  </si>
  <si>
    <r>
      <t>What is the value of the change? (</t>
    </r>
    <r>
      <rPr>
        <i/>
        <sz val="10"/>
        <rFont val="Arial"/>
        <family val="2"/>
      </rPr>
      <t>Only enter numbers)</t>
    </r>
  </si>
  <si>
    <r>
      <t xml:space="preserve">What is the value of the inputs in currency </t>
    </r>
    <r>
      <rPr>
        <i/>
        <sz val="10"/>
        <rFont val="Arial"/>
        <family val="2"/>
      </rPr>
      <t>(only enter numbers)</t>
    </r>
  </si>
  <si>
    <t>Value in currency</t>
  </si>
  <si>
    <t>Year 0</t>
  </si>
  <si>
    <t>Does it start in period of activity (1) or in period after (2)</t>
  </si>
  <si>
    <r>
      <t>How long does it last after end of activity? (</t>
    </r>
    <r>
      <rPr>
        <i/>
        <sz val="10"/>
        <rFont val="Arial"/>
        <family val="2"/>
      </rPr>
      <t>Only enter numbers)</t>
    </r>
  </si>
  <si>
    <t>Outcomes start</t>
  </si>
  <si>
    <t>Value per amount invested</t>
  </si>
  <si>
    <t xml:space="preserve">                                                                                                                                                                                                                                                                                                                                                                                                                                                                                                                                                                                                                                                                                                                                                                                                                                                                                                                                                                                                                                                                                         </t>
  </si>
  <si>
    <t>Who do we have an effect on?                          Who has an effect on us?</t>
  </si>
  <si>
    <t>Parents</t>
  </si>
  <si>
    <t>Outputs/Activities</t>
  </si>
  <si>
    <t>Summary of activity including numbers</t>
  </si>
  <si>
    <t>Social Return on Investment - The Impact Map-Morehouse College:  Student Applied Learning, New Teacher Induction and Staff Leadership Program</t>
  </si>
  <si>
    <t>Interviews</t>
  </si>
  <si>
    <t>Implement 1) high school student program, 2) new high school teacher induction program, and 3) new leader training program</t>
  </si>
  <si>
    <t>State</t>
  </si>
  <si>
    <t>Interviews, evaluation report, ALSQ survey reports</t>
  </si>
  <si>
    <t>Interviews, evaluation reports, ALSQ survey reports</t>
  </si>
  <si>
    <t>Participate in comprehensive induction program that empowers new high school science teachers and leaders to deliver more complex instruction, motivate students and teachers, incorporate high expectations and make better use of available instructional resources.</t>
  </si>
  <si>
    <t>Intended changes</t>
  </si>
  <si>
    <t>Children would gain greater understanding of STEM careers</t>
  </si>
  <si>
    <t>Time</t>
  </si>
  <si>
    <t>Clayton County Public Schools</t>
  </si>
  <si>
    <t>Greater connection to Morehouse College, lower science teacher turnover, higher-quality science teaching, more engaged students</t>
  </si>
  <si>
    <t>Attended initial meet-and-greet</t>
  </si>
  <si>
    <t>Develop higher order thinking skills through applied learning opportunities, increased science GPA, 90% will apply to and attend college, 70% will declare STEM majors</t>
  </si>
  <si>
    <t>Students of teachers who participated in the summer professional development</t>
  </si>
  <si>
    <t>Pass rate in biology to increase from 40%-70%, physical science from 53%-80%, increase in STEM majors in college</t>
  </si>
  <si>
    <t>Students participate in case study lessons given by teachers who were in the summer PD</t>
  </si>
  <si>
    <t>Summer program students (interested in STEM, with at least a 3.0 GPA)--rising sophomores, juniors, and seniors</t>
  </si>
  <si>
    <t>Morehouse College (principal investigator, assistant director, part-time program manager, teacher liasion, faculty lecturers)</t>
  </si>
  <si>
    <t>Interviews, evaluation reports</t>
  </si>
  <si>
    <t>Teacher and mentor reports of student experiences</t>
  </si>
  <si>
    <t>Students attended four-week summer camp on Morehouse college campus for three years
Received stipend and daily lunch
Worked on original research project and/or in a lab environment
Developed a poster and presented finding at competition at the end of the summer, science fairs, and annual expos
Received incentives to attend Morehouse college
Eight students went to Wyoming to a launch at a high-altitude research center</t>
  </si>
  <si>
    <t>22 teachers across 3 years (8 in Y1, 7 in Y2 &amp; Y3), but most were not in their first 3 years of teaching 
Attended a week long PD on campus where they practiced teaching; visited professors' lab
Developed PD plan and collaborative goals
Guided the students with the questions
Acted as assistants to the professors
Led afternoon sessions, facilitated different activities with students
Received $1000 stipends during summer, continual support during academic year (monthly meetings with mentors and coach)</t>
  </si>
  <si>
    <t>Perceptions of staff regarding community involvement, influence on students' STEM career choices
Status of scientific literacy center</t>
  </si>
  <si>
    <t>Amount of new funding received</t>
  </si>
  <si>
    <t>Funding amount</t>
  </si>
  <si>
    <r>
      <t>High school STEM teac</t>
    </r>
    <r>
      <rPr>
        <sz val="10"/>
        <color theme="1"/>
        <rFont val="Calibri"/>
        <family val="2"/>
      </rPr>
      <t>hers in their first three years of teaching from Clayton County School District</t>
    </r>
  </si>
  <si>
    <t>Student and parent perceptions</t>
  </si>
  <si>
    <t>http://www.gotech.gatech.edu/plugins/content/index.php?id=71</t>
  </si>
  <si>
    <t>Provided oversight and management of the partnership
Created the Scientific Literacy  Center Website (www.scientificliteracycenter.org) and provided resources for students and teachers. 
Trained teachers in summer and provided school-year support
Provided student summer camp for three years, including daily bus transportation
Provided housing for 4 students to stay on campus during camp
Provided stipends for CCPS teachers to attend PD sessions</t>
  </si>
  <si>
    <t>Assisted in selecting participating students and recruiting new teachers for induction program and leader teachers for leaders workshop
Met monthly with Morehouse program leaders</t>
  </si>
  <si>
    <t>Number of students intending to graduate HS</t>
  </si>
  <si>
    <t>ALSQ</t>
  </si>
  <si>
    <t>Carnevale et al. (2011)</t>
  </si>
  <si>
    <t>Number of students intending to graduate from 2-year college</t>
  </si>
  <si>
    <t>Nmber of students intending to graduate from 4-year college</t>
  </si>
  <si>
    <t>Number of students intending to graduate from graduate school</t>
  </si>
  <si>
    <t>Number of students intending to graduate from professional school</t>
  </si>
  <si>
    <t>Student-reported intrinsic motivation, self-management/self-regulation, intent to persist in STEM coursework or careers, self-efficacy, problem-solving, implementation activities
Number of students likely to graduate from high school and college and choose a STEM career
Number of students passing EOCT</t>
  </si>
  <si>
    <t>Bureau of Labor Statistics 2014</t>
  </si>
  <si>
    <t>Change in lifetime earnings of HS grads</t>
  </si>
  <si>
    <t>Change in lifetime earnings of 2-year college grads</t>
  </si>
  <si>
    <t>Change in lifetime earnings of 4-year college grads</t>
  </si>
  <si>
    <t>Change in lifetime earnings of graduate school grads</t>
  </si>
  <si>
    <t>Change in lifetime earnings of professional school grads</t>
  </si>
  <si>
    <t>Teacher self-report of teaching strategies, Morehouse coach report of teaching strategies</t>
  </si>
  <si>
    <t>GA Tech science summer camp cost</t>
  </si>
  <si>
    <t>Documentation of changes to curriculum and teaching strategies</t>
  </si>
  <si>
    <t>GOSA web site</t>
  </si>
  <si>
    <t>Expected/not monetized: students had more specific career plans
Unexpected/not monetized: greater appreciation for school district,  greater exposure to Morehouse college</t>
  </si>
  <si>
    <t>Expected/not monetized: Teachers using new instructional strategies</t>
  </si>
  <si>
    <t>Expected/not monetized: incorporated PBL in the classroom and improved the curriculum, better connection to parents, improved teaching skills</t>
  </si>
  <si>
    <t>Expected/not monetized: teachers reported that students experienced Problem Based Learning (PBL) and case studies, cooperative learning</t>
  </si>
  <si>
    <t>Unexpected/monetized: new planning grant from Innovation Fund to launch online version of scientific literacy program</t>
  </si>
  <si>
    <t>Expected/monetized: increased leadership of participating teachers to provide support to other nonparticipating teachers at their schools</t>
  </si>
  <si>
    <t>Expected/monetized: increased mentorship of participating teachers to serve as mentors to new teacher participants in future years</t>
  </si>
  <si>
    <t>Expected/monetized: had a summer option for children to keep them engaged</t>
  </si>
  <si>
    <t>Hgher-quality science teaching in Clayton County and other districts</t>
  </si>
  <si>
    <t>Grant funding (includes planning grant)</t>
  </si>
  <si>
    <r>
      <t xml:space="preserve">Personnel time and space
Curriculum funded by three previous NSF grants
Supervision of students in Research Scholars Program
</t>
    </r>
    <r>
      <rPr>
        <sz val="10"/>
        <color theme="1"/>
        <rFont val="Calibri"/>
        <family val="2"/>
      </rPr>
      <t xml:space="preserve">
</t>
    </r>
  </si>
  <si>
    <t>Savings in alternate arrangements for students</t>
  </si>
  <si>
    <t>Expected/not monetized: Morehouse college increased its exposure and involvement in the community, launched scientific literacy center 
Unexpected/not monetized: greater feeling of satisfaction of and contribution to students' change of perspective about college and pursuing STEM.</t>
  </si>
  <si>
    <t>Expected/not monetized: increased self-directed learning, increased intrinsic motivation, problem-solving, communication, and self-management skills; increased confidence; increased engagement and excitement; increased career knowledge; increased understanding of college life; increased ability to work in teams
Unexpected/not monetized: made new friends from different schools with common interests</t>
  </si>
  <si>
    <t>Expected/monetized: Increased higher education and career aspirations</t>
  </si>
  <si>
    <t>Value of teacher mentoring activity</t>
  </si>
  <si>
    <t>Time value of teacher taking leadership roles and mentoring fellow teachers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</si>
</sst>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4" formatCode="_(&quot;$&quot;* #,##0.00_);_(&quot;$&quot;* \(#,##0.00\);_(&quot;$&quot;* &quot;-&quot;??_);_(@_)"/>
    <numFmt numFmtId="164" formatCode="0.0%"/>
    <numFmt numFmtId="165" formatCode="0.0"/>
    <numFmt numFmtId="166" formatCode="&quot;£&quot;#,##0.00"/>
    <numFmt numFmtId="167" formatCode="_(&quot;$&quot;* #,##0_);_(&quot;$&quot;* \(#,##0\);_(&quot;$&quot;* &quot;-&quot;??_);_(@_)"/>
  </numFmts>
  <fonts count="21" x14ac:knownFonts="1">
    <font>
      <sz val="10"/>
      <name val="Arial"/>
    </font>
    <font>
      <sz val="10"/>
      <name val="Arial"/>
      <family val="2"/>
    </font>
    <font>
      <b/>
      <sz val="10"/>
      <name val="Arial"/>
      <family val="2"/>
    </font>
    <font>
      <b/>
      <sz val="12"/>
      <name val="Arial"/>
      <family val="2"/>
    </font>
    <font>
      <sz val="14"/>
      <name val="Arial"/>
      <family val="2"/>
    </font>
    <font>
      <sz val="12"/>
      <name val="Arial"/>
      <family val="2"/>
    </font>
    <font>
      <sz val="10"/>
      <color theme="0"/>
      <name val="Arial"/>
      <family val="2"/>
    </font>
    <font>
      <sz val="14"/>
      <color theme="0"/>
      <name val="Arial"/>
      <family val="2"/>
    </font>
    <font>
      <sz val="14"/>
      <color rgb="FFFF0000"/>
      <name val="Calibri"/>
      <family val="2"/>
      <scheme val="minor"/>
    </font>
    <font>
      <b/>
      <sz val="12"/>
      <color theme="0"/>
      <name val="Arial"/>
      <family val="2"/>
    </font>
    <font>
      <b/>
      <sz val="12"/>
      <name val="Calibri"/>
      <family val="2"/>
      <scheme val="minor"/>
    </font>
    <font>
      <b/>
      <sz val="14"/>
      <color theme="0"/>
      <name val="Arial"/>
      <family val="2"/>
    </font>
    <font>
      <i/>
      <sz val="10"/>
      <name val="Arial"/>
      <family val="2"/>
    </font>
    <font>
      <sz val="10"/>
      <name val="Calibri"/>
      <family val="2"/>
    </font>
    <font>
      <sz val="10"/>
      <name val="Arial"/>
      <family val="2"/>
    </font>
    <font>
      <sz val="10"/>
      <name val="Calibri"/>
      <family val="2"/>
      <scheme val="minor"/>
    </font>
    <font>
      <sz val="10"/>
      <color theme="1"/>
      <name val="Calibri"/>
      <family val="2"/>
    </font>
    <font>
      <u/>
      <sz val="10"/>
      <color theme="10"/>
      <name val="Arial"/>
      <family val="2"/>
    </font>
    <font>
      <sz val="9"/>
      <color indexed="81"/>
      <name val="Tahoma"/>
      <family val="2"/>
    </font>
    <font>
      <b/>
      <sz val="9"/>
      <color indexed="81"/>
      <name val="Tahoma"/>
      <family val="2"/>
    </font>
    <font>
      <sz val="9"/>
      <color indexed="81"/>
      <name val="Tahoma"/>
      <charset val="1"/>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6CCBE"/>
        <bgColor indexed="64"/>
      </patternFill>
    </fill>
    <fill>
      <patternFill patternType="solid">
        <fgColor rgb="FFFED230"/>
        <bgColor indexed="64"/>
      </patternFill>
    </fill>
    <fill>
      <patternFill patternType="solid">
        <fgColor rgb="FFF2007F"/>
        <bgColor indexed="64"/>
      </patternFill>
    </fill>
    <fill>
      <patternFill patternType="solid">
        <fgColor rgb="FFFFFF00"/>
        <bgColor indexed="64"/>
      </patternFill>
    </fill>
    <fill>
      <patternFill patternType="solid">
        <fgColor rgb="FFE1E2D4"/>
        <bgColor indexed="64"/>
      </patternFill>
    </fill>
    <fill>
      <patternFill patternType="solid">
        <fgColor theme="2" tint="-9.9978637043366805E-2"/>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theme="0"/>
      </top>
      <bottom style="thin">
        <color theme="0"/>
      </bottom>
      <diagonal/>
    </border>
    <border>
      <left style="thin">
        <color indexed="64"/>
      </left>
      <right style="thin">
        <color indexed="64"/>
      </right>
      <top style="thin">
        <color theme="0"/>
      </top>
      <bottom style="thin">
        <color theme="0"/>
      </bottom>
      <diagonal/>
    </border>
    <border>
      <left style="medium">
        <color rgb="FF06CCBE"/>
      </left>
      <right style="medium">
        <color rgb="FF06CCBE"/>
      </right>
      <top style="medium">
        <color rgb="FF06CCBE"/>
      </top>
      <bottom style="medium">
        <color rgb="FF06CCBE"/>
      </bottom>
      <diagonal/>
    </border>
    <border>
      <left style="thin">
        <color indexed="64"/>
      </left>
      <right style="medium">
        <color rgb="FF06CCBE"/>
      </right>
      <top style="thin">
        <color indexed="64"/>
      </top>
      <bottom/>
      <diagonal/>
    </border>
    <border>
      <left style="medium">
        <color rgb="FF06CCBE"/>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theme="0"/>
      </top>
      <bottom/>
      <diagonal/>
    </border>
    <border>
      <left/>
      <right/>
      <top/>
      <bottom style="thin">
        <color theme="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theme="0"/>
      </top>
      <bottom style="thin">
        <color theme="0"/>
      </bottom>
      <diagonal/>
    </border>
    <border>
      <left style="thin">
        <color indexed="64"/>
      </left>
      <right style="medium">
        <color rgb="FF06CCBE"/>
      </right>
      <top/>
      <bottom/>
      <diagonal/>
    </border>
    <border>
      <left style="medium">
        <color rgb="FF06CCBE"/>
      </left>
      <right style="medium">
        <color rgb="FF06CCBE"/>
      </right>
      <top style="medium">
        <color rgb="FF06CCBE"/>
      </top>
      <bottom/>
      <diagonal/>
    </border>
    <border>
      <left style="medium">
        <color rgb="FF06CCBE"/>
      </left>
      <right style="thin">
        <color indexed="64"/>
      </right>
      <top/>
      <bottom/>
      <diagonal/>
    </border>
  </borders>
  <cellStyleXfs count="4">
    <xf numFmtId="0" fontId="0" fillId="0" borderId="0"/>
    <xf numFmtId="44" fontId="14"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95">
    <xf numFmtId="0" fontId="0" fillId="0" borderId="0" xfId="0"/>
    <xf numFmtId="165" fontId="1" fillId="2" borderId="0" xfId="0" applyNumberFormat="1" applyFont="1" applyFill="1" applyBorder="1" applyAlignment="1" applyProtection="1">
      <alignment wrapText="1"/>
    </xf>
    <xf numFmtId="165" fontId="1" fillId="0" borderId="0" xfId="0" applyNumberFormat="1" applyFont="1" applyBorder="1" applyAlignment="1" applyProtection="1">
      <alignment wrapText="1"/>
    </xf>
    <xf numFmtId="166" fontId="1" fillId="0" borderId="0" xfId="0" applyNumberFormat="1" applyFont="1" applyBorder="1" applyAlignment="1" applyProtection="1">
      <alignment wrapText="1"/>
    </xf>
    <xf numFmtId="4" fontId="1" fillId="0" borderId="6" xfId="0" applyNumberFormat="1" applyFont="1" applyBorder="1" applyAlignment="1" applyProtection="1">
      <alignment horizontal="right" vertical="center" wrapText="1"/>
    </xf>
    <xf numFmtId="165" fontId="2" fillId="2" borderId="16" xfId="0" applyNumberFormat="1" applyFont="1" applyFill="1" applyBorder="1" applyAlignment="1" applyProtection="1"/>
    <xf numFmtId="165" fontId="2" fillId="2" borderId="18" xfId="0" applyNumberFormat="1" applyFont="1" applyFill="1" applyBorder="1" applyAlignment="1" applyProtection="1"/>
    <xf numFmtId="4" fontId="1" fillId="0" borderId="0" xfId="0" applyNumberFormat="1" applyFont="1" applyAlignment="1" applyProtection="1">
      <alignment wrapText="1"/>
    </xf>
    <xf numFmtId="4" fontId="1" fillId="0" borderId="3" xfId="0" applyNumberFormat="1" applyFont="1" applyBorder="1" applyAlignment="1" applyProtection="1">
      <alignment wrapText="1"/>
    </xf>
    <xf numFmtId="4" fontId="1" fillId="0" borderId="9" xfId="0" applyNumberFormat="1" applyFont="1" applyBorder="1" applyAlignment="1" applyProtection="1">
      <alignment wrapText="1"/>
    </xf>
    <xf numFmtId="4" fontId="1" fillId="0" borderId="2" xfId="0" applyNumberFormat="1" applyFont="1" applyBorder="1" applyAlignment="1" applyProtection="1">
      <alignment wrapText="1"/>
    </xf>
    <xf numFmtId="4" fontId="1" fillId="0" borderId="1" xfId="0" applyNumberFormat="1" applyFont="1" applyBorder="1" applyAlignment="1" applyProtection="1">
      <alignment horizontal="right" vertical="center" wrapText="1"/>
    </xf>
    <xf numFmtId="4" fontId="1" fillId="0" borderId="0" xfId="0" applyNumberFormat="1" applyFont="1" applyBorder="1" applyAlignment="1" applyProtection="1">
      <alignment wrapText="1"/>
    </xf>
    <xf numFmtId="4" fontId="1" fillId="0" borderId="0" xfId="0" applyNumberFormat="1" applyFont="1" applyBorder="1" applyAlignment="1" applyProtection="1">
      <alignment horizontal="right" vertical="center" wrapText="1"/>
    </xf>
    <xf numFmtId="3" fontId="15" fillId="0" borderId="3" xfId="0" applyNumberFormat="1" applyFont="1" applyBorder="1" applyAlignment="1" applyProtection="1">
      <alignment vertical="center" wrapText="1"/>
    </xf>
    <xf numFmtId="3" fontId="15" fillId="0" borderId="3" xfId="0" applyNumberFormat="1" applyFont="1" applyFill="1" applyBorder="1" applyAlignment="1" applyProtection="1">
      <alignment vertical="center" wrapText="1"/>
    </xf>
    <xf numFmtId="3" fontId="15" fillId="0" borderId="0" xfId="0" applyNumberFormat="1" applyFont="1" applyAlignment="1" applyProtection="1">
      <alignment wrapText="1"/>
    </xf>
    <xf numFmtId="3" fontId="15" fillId="0" borderId="3" xfId="0" applyNumberFormat="1" applyFont="1" applyBorder="1" applyAlignment="1" applyProtection="1">
      <alignment wrapText="1"/>
    </xf>
    <xf numFmtId="0" fontId="11" fillId="4" borderId="0" xfId="0" applyFont="1" applyFill="1" applyAlignment="1" applyProtection="1"/>
    <xf numFmtId="0" fontId="4" fillId="4" borderId="0" xfId="0" applyFont="1" applyFill="1" applyAlignment="1" applyProtection="1">
      <alignment wrapText="1"/>
    </xf>
    <xf numFmtId="166" fontId="4" fillId="4" borderId="0" xfId="0" applyNumberFormat="1" applyFont="1" applyFill="1" applyAlignment="1" applyProtection="1">
      <alignment wrapText="1"/>
    </xf>
    <xf numFmtId="0" fontId="4" fillId="0" borderId="11" xfId="0" applyFont="1" applyFill="1" applyBorder="1" applyAlignment="1" applyProtection="1">
      <alignment wrapText="1"/>
    </xf>
    <xf numFmtId="0" fontId="4" fillId="0" borderId="0" xfId="0" applyFont="1" applyFill="1" applyBorder="1" applyAlignment="1" applyProtection="1">
      <alignment wrapText="1"/>
    </xf>
    <xf numFmtId="0" fontId="4" fillId="3" borderId="0" xfId="0" applyFont="1" applyFill="1" applyAlignment="1" applyProtection="1">
      <alignment wrapText="1"/>
    </xf>
    <xf numFmtId="0" fontId="4" fillId="0" borderId="0" xfId="0" applyFont="1" applyFill="1" applyAlignment="1" applyProtection="1">
      <alignment wrapText="1"/>
    </xf>
    <xf numFmtId="0" fontId="9" fillId="3" borderId="0" xfId="0" applyFont="1" applyFill="1" applyAlignment="1" applyProtection="1">
      <alignment horizontal="center"/>
    </xf>
    <xf numFmtId="0" fontId="1" fillId="3" borderId="0" xfId="0" applyFont="1" applyFill="1" applyAlignment="1" applyProtection="1">
      <alignment wrapText="1"/>
    </xf>
    <xf numFmtId="166" fontId="1" fillId="3" borderId="0" xfId="0" applyNumberFormat="1" applyFont="1" applyFill="1" applyAlignment="1" applyProtection="1">
      <alignment wrapText="1"/>
    </xf>
    <xf numFmtId="0" fontId="1" fillId="0" borderId="11" xfId="0" applyFont="1" applyFill="1" applyBorder="1" applyAlignment="1" applyProtection="1">
      <alignment wrapText="1"/>
    </xf>
    <xf numFmtId="0" fontId="1" fillId="0" borderId="0" xfId="0" applyFont="1" applyFill="1" applyBorder="1" applyAlignment="1" applyProtection="1">
      <alignment wrapText="1"/>
    </xf>
    <xf numFmtId="0" fontId="1" fillId="0" borderId="0" xfId="0" applyFont="1" applyFill="1" applyAlignment="1" applyProtection="1">
      <alignment wrapText="1"/>
    </xf>
    <xf numFmtId="0" fontId="7" fillId="3" borderId="0" xfId="0" applyFont="1" applyFill="1" applyAlignment="1" applyProtection="1">
      <alignment horizontal="left" vertical="center"/>
    </xf>
    <xf numFmtId="0" fontId="8" fillId="3" borderId="0" xfId="0" applyFont="1" applyFill="1" applyAlignment="1" applyProtection="1">
      <alignment horizontal="left" vertical="center"/>
    </xf>
    <xf numFmtId="0" fontId="6" fillId="3" borderId="0" xfId="0" applyFont="1" applyFill="1" applyAlignment="1" applyProtection="1">
      <alignment horizontal="center" vertical="center" wrapText="1"/>
    </xf>
    <xf numFmtId="166" fontId="6" fillId="3" borderId="0" xfId="0" applyNumberFormat="1" applyFont="1" applyFill="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0" xfId="0" applyFont="1" applyFill="1" applyAlignment="1" applyProtection="1">
      <alignment horizontal="center" vertical="center" wrapText="1"/>
    </xf>
    <xf numFmtId="0" fontId="3" fillId="5" borderId="0" xfId="0" applyFont="1" applyFill="1" applyAlignment="1" applyProtection="1">
      <alignment vertical="center"/>
    </xf>
    <xf numFmtId="0" fontId="10" fillId="5" borderId="0" xfId="0" applyFont="1" applyFill="1" applyAlignment="1" applyProtection="1">
      <alignment vertical="center"/>
    </xf>
    <xf numFmtId="0" fontId="3" fillId="6" borderId="0" xfId="0" applyFont="1" applyFill="1" applyAlignment="1" applyProtection="1">
      <alignment vertical="center" wrapText="1"/>
    </xf>
    <xf numFmtId="0" fontId="3" fillId="4" borderId="0" xfId="0" applyFont="1" applyFill="1" applyAlignment="1" applyProtection="1">
      <alignment vertical="center" wrapText="1"/>
    </xf>
    <xf numFmtId="166" fontId="3" fillId="4" borderId="0" xfId="0" applyNumberFormat="1" applyFont="1" applyFill="1" applyAlignment="1" applyProtection="1">
      <alignment vertical="center" wrapText="1"/>
    </xf>
    <xf numFmtId="0" fontId="3" fillId="7" borderId="0" xfId="0" applyFont="1" applyFill="1" applyAlignment="1" applyProtection="1">
      <alignment vertical="center" wrapText="1"/>
    </xf>
    <xf numFmtId="0" fontId="3" fillId="0" borderId="11"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3" borderId="0" xfId="0" applyFont="1" applyFill="1" applyAlignment="1" applyProtection="1">
      <alignment vertical="center"/>
    </xf>
    <xf numFmtId="0" fontId="3" fillId="3" borderId="0" xfId="0" applyFont="1" applyFill="1" applyAlignment="1" applyProtection="1">
      <alignment vertical="center" wrapText="1"/>
    </xf>
    <xf numFmtId="166" fontId="3" fillId="3" borderId="0" xfId="0" applyNumberFormat="1" applyFont="1" applyFill="1" applyAlignment="1" applyProtection="1">
      <alignment vertical="center" wrapText="1"/>
    </xf>
    <xf numFmtId="0" fontId="3" fillId="0" borderId="0" xfId="0" applyFont="1" applyFill="1" applyAlignment="1" applyProtection="1">
      <alignment vertical="center" wrapText="1"/>
    </xf>
    <xf numFmtId="0" fontId="3" fillId="8" borderId="6" xfId="0" applyFont="1" applyFill="1" applyBorder="1" applyAlignment="1" applyProtection="1">
      <alignment horizontal="left" vertical="center" wrapText="1"/>
    </xf>
    <xf numFmtId="0" fontId="3" fillId="8" borderId="8" xfId="0" applyFont="1" applyFill="1" applyBorder="1" applyAlignment="1" applyProtection="1">
      <alignment horizontal="left" vertical="center" wrapText="1"/>
    </xf>
    <xf numFmtId="0" fontId="3" fillId="8" borderId="10"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wrapText="1"/>
    </xf>
    <xf numFmtId="0" fontId="5" fillId="3" borderId="0" xfId="0" applyFont="1" applyFill="1" applyAlignment="1" applyProtection="1">
      <alignment horizontal="left" vertical="center" wrapText="1"/>
    </xf>
    <xf numFmtId="0" fontId="5" fillId="0" borderId="0" xfId="0" applyFont="1" applyFill="1" applyAlignment="1" applyProtection="1">
      <alignment horizontal="left" vertical="center" wrapText="1"/>
    </xf>
    <xf numFmtId="0" fontId="5" fillId="8" borderId="0" xfId="0" applyFont="1" applyFill="1" applyAlignment="1" applyProtection="1">
      <alignment horizontal="left" vertical="center" wrapText="1"/>
    </xf>
    <xf numFmtId="0" fontId="1" fillId="10" borderId="13" xfId="0" applyFont="1" applyFill="1" applyBorder="1" applyAlignment="1" applyProtection="1">
      <alignment horizontal="left" vertical="top" wrapText="1"/>
    </xf>
    <xf numFmtId="166" fontId="1" fillId="10" borderId="13" xfId="0" applyNumberFormat="1" applyFont="1" applyFill="1" applyBorder="1" applyAlignment="1" applyProtection="1">
      <alignment horizontal="left" vertical="top" wrapText="1"/>
    </xf>
    <xf numFmtId="0" fontId="1" fillId="3" borderId="11" xfId="0" applyFont="1" applyFill="1" applyBorder="1" applyAlignment="1" applyProtection="1">
      <alignment horizontal="left" vertical="top" wrapText="1"/>
    </xf>
    <xf numFmtId="164" fontId="1" fillId="10" borderId="3" xfId="0" applyNumberFormat="1" applyFont="1" applyFill="1" applyBorder="1" applyAlignment="1" applyProtection="1">
      <alignment horizontal="left" vertical="top" wrapText="1"/>
    </xf>
    <xf numFmtId="164" fontId="1" fillId="10" borderId="7" xfId="0" applyNumberFormat="1"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164" fontId="1" fillId="0" borderId="3" xfId="0" applyNumberFormat="1" applyFont="1" applyFill="1" applyBorder="1" applyAlignment="1" applyProtection="1">
      <alignment horizontal="left" vertical="top" wrapText="1"/>
    </xf>
    <xf numFmtId="164" fontId="1" fillId="9" borderId="7" xfId="0" applyNumberFormat="1" applyFont="1" applyFill="1" applyBorder="1" applyAlignment="1" applyProtection="1">
      <alignment horizontal="left" vertical="top" wrapText="1"/>
    </xf>
    <xf numFmtId="0" fontId="1" fillId="3"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1" fillId="8" borderId="0" xfId="0" applyFont="1" applyFill="1" applyAlignment="1" applyProtection="1">
      <alignment horizontal="left" vertical="top" wrapText="1"/>
    </xf>
    <xf numFmtId="0" fontId="1" fillId="10" borderId="25" xfId="0" applyFont="1" applyFill="1" applyBorder="1" applyAlignment="1" applyProtection="1">
      <alignment horizontal="left" vertical="top" wrapText="1"/>
    </xf>
    <xf numFmtId="166" fontId="1" fillId="10" borderId="25" xfId="0" applyNumberFormat="1" applyFont="1" applyFill="1" applyBorder="1" applyAlignment="1" applyProtection="1">
      <alignment horizontal="left" vertical="top" wrapText="1"/>
    </xf>
    <xf numFmtId="0" fontId="2" fillId="10" borderId="3" xfId="0" applyFont="1" applyFill="1" applyBorder="1" applyAlignment="1" applyProtection="1">
      <alignment horizontal="left" vertical="top" wrapText="1"/>
    </xf>
    <xf numFmtId="166" fontId="2" fillId="10" borderId="3" xfId="0" applyNumberFormat="1" applyFont="1" applyFill="1" applyBorder="1" applyAlignment="1" applyProtection="1">
      <alignment horizontal="left" vertical="top" wrapText="1"/>
    </xf>
    <xf numFmtId="0" fontId="2" fillId="8" borderId="3" xfId="0" applyFont="1" applyFill="1" applyBorder="1" applyAlignment="1" applyProtection="1">
      <alignment horizontal="left" vertical="top" wrapText="1"/>
    </xf>
    <xf numFmtId="166" fontId="2" fillId="8" borderId="3" xfId="0" applyNumberFormat="1" applyFont="1" applyFill="1" applyBorder="1" applyAlignment="1" applyProtection="1">
      <alignment horizontal="left" vertical="top" wrapText="1"/>
    </xf>
    <xf numFmtId="0" fontId="13" fillId="0" borderId="3" xfId="0" applyFont="1" applyBorder="1" applyAlignment="1" applyProtection="1">
      <alignment horizontal="left" vertical="center" wrapText="1"/>
    </xf>
    <xf numFmtId="0" fontId="16" fillId="0" borderId="3" xfId="0" applyFont="1" applyBorder="1" applyAlignment="1" applyProtection="1">
      <alignment horizontal="left" vertical="center" wrapText="1"/>
    </xf>
    <xf numFmtId="167" fontId="13" fillId="0" borderId="3" xfId="1" applyNumberFormat="1" applyFont="1" applyBorder="1" applyAlignment="1" applyProtection="1">
      <alignment horizontal="left" vertical="center" wrapText="1"/>
    </xf>
    <xf numFmtId="9" fontId="13" fillId="0" borderId="3" xfId="2" applyFont="1" applyBorder="1" applyAlignment="1" applyProtection="1">
      <alignment horizontal="left" vertical="center" wrapText="1"/>
    </xf>
    <xf numFmtId="4" fontId="1" fillId="0" borderId="23" xfId="0" applyNumberFormat="1" applyFont="1" applyFill="1" applyBorder="1" applyAlignment="1" applyProtection="1">
      <alignment vertical="center" wrapText="1"/>
    </xf>
    <xf numFmtId="4" fontId="1" fillId="0" borderId="21" xfId="0" applyNumberFormat="1" applyFont="1" applyFill="1" applyBorder="1" applyAlignment="1" applyProtection="1">
      <alignment vertical="center" wrapText="1"/>
    </xf>
    <xf numFmtId="0" fontId="1" fillId="3" borderId="0" xfId="0" applyFont="1" applyFill="1" applyAlignment="1" applyProtection="1">
      <alignment vertical="center" wrapText="1"/>
    </xf>
    <xf numFmtId="0" fontId="1" fillId="0" borderId="0" xfId="0" applyFont="1" applyFill="1" applyAlignment="1" applyProtection="1">
      <alignment vertical="center" wrapText="1"/>
    </xf>
    <xf numFmtId="0" fontId="1" fillId="0" borderId="0" xfId="0" applyFont="1" applyAlignment="1" applyProtection="1">
      <alignment vertical="center" wrapText="1"/>
    </xf>
    <xf numFmtId="6" fontId="13" fillId="0" borderId="3" xfId="1" applyNumberFormat="1" applyFont="1" applyBorder="1" applyAlignment="1" applyProtection="1">
      <alignment horizontal="left" vertical="center" wrapText="1"/>
    </xf>
    <xf numFmtId="0" fontId="13" fillId="0" borderId="3" xfId="0" applyFont="1" applyBorder="1" applyAlignment="1" applyProtection="1">
      <alignment vertical="center" wrapText="1"/>
    </xf>
    <xf numFmtId="0" fontId="13" fillId="3" borderId="3" xfId="0" applyFont="1" applyFill="1" applyBorder="1" applyAlignment="1" applyProtection="1">
      <alignment horizontal="left" vertical="center" wrapText="1"/>
    </xf>
    <xf numFmtId="9" fontId="13" fillId="3" borderId="3" xfId="2" applyFont="1" applyFill="1" applyBorder="1" applyAlignment="1" applyProtection="1">
      <alignment horizontal="left" vertical="center" wrapText="1"/>
    </xf>
    <xf numFmtId="0" fontId="15" fillId="3" borderId="3" xfId="0" applyFont="1" applyFill="1" applyBorder="1" applyAlignment="1" applyProtection="1">
      <alignment vertical="center" wrapText="1"/>
    </xf>
    <xf numFmtId="0" fontId="13" fillId="0" borderId="5" xfId="0" applyFont="1" applyBorder="1" applyAlignment="1" applyProtection="1">
      <alignment horizontal="left" vertical="center" wrapText="1"/>
    </xf>
    <xf numFmtId="167" fontId="13" fillId="0" borderId="22" xfId="1" applyNumberFormat="1"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1" fillId="0" borderId="1" xfId="0" applyFont="1" applyBorder="1" applyAlignment="1" applyProtection="1">
      <alignment vertical="center" wrapText="1"/>
    </xf>
    <xf numFmtId="167" fontId="1" fillId="0" borderId="1" xfId="1" applyNumberFormat="1" applyFont="1" applyBorder="1" applyAlignment="1" applyProtection="1">
      <alignment vertical="center" wrapText="1"/>
    </xf>
    <xf numFmtId="0" fontId="15" fillId="3" borderId="3" xfId="0" applyFont="1" applyFill="1" applyBorder="1" applyAlignment="1" applyProtection="1">
      <alignment horizontal="left" vertical="center" wrapText="1"/>
    </xf>
    <xf numFmtId="167" fontId="15" fillId="3" borderId="3" xfId="1" applyNumberFormat="1" applyFont="1" applyFill="1" applyBorder="1" applyAlignment="1" applyProtection="1">
      <alignment vertical="center" wrapText="1"/>
    </xf>
    <xf numFmtId="0" fontId="17" fillId="0" borderId="3" xfId="3" applyFont="1" applyBorder="1" applyAlignment="1" applyProtection="1">
      <alignment vertical="center" wrapText="1"/>
    </xf>
    <xf numFmtId="0" fontId="1" fillId="0" borderId="0" xfId="0" applyFont="1" applyAlignment="1" applyProtection="1">
      <alignment wrapText="1"/>
    </xf>
    <xf numFmtId="44" fontId="1" fillId="0" borderId="0" xfId="1" applyFont="1" applyAlignment="1" applyProtection="1">
      <alignment wrapText="1"/>
    </xf>
    <xf numFmtId="166" fontId="1" fillId="0" borderId="0" xfId="0" applyNumberFormat="1" applyFont="1" applyAlignment="1" applyProtection="1">
      <alignment wrapText="1"/>
    </xf>
    <xf numFmtId="0" fontId="1" fillId="0" borderId="0" xfId="0" applyFont="1" applyAlignment="1" applyProtection="1">
      <alignment horizontal="center" wrapText="1"/>
    </xf>
    <xf numFmtId="4" fontId="1" fillId="0" borderId="11" xfId="0" applyNumberFormat="1" applyFont="1" applyFill="1" applyBorder="1" applyAlignment="1" applyProtection="1">
      <alignment wrapText="1"/>
    </xf>
    <xf numFmtId="4" fontId="1" fillId="0" borderId="0" xfId="0" applyNumberFormat="1" applyFont="1" applyFill="1" applyBorder="1" applyAlignment="1" applyProtection="1">
      <alignment wrapText="1"/>
    </xf>
    <xf numFmtId="0" fontId="3" fillId="0" borderId="3" xfId="0" applyFont="1" applyBorder="1" applyAlignment="1" applyProtection="1">
      <alignment wrapText="1"/>
    </xf>
    <xf numFmtId="0" fontId="1" fillId="0" borderId="0" xfId="0" applyFont="1" applyBorder="1" applyAlignment="1" applyProtection="1">
      <alignment wrapText="1"/>
    </xf>
    <xf numFmtId="6" fontId="13" fillId="0" borderId="22" xfId="1" applyNumberFormat="1" applyFont="1" applyBorder="1" applyAlignment="1" applyProtection="1">
      <alignment horizontal="left" vertical="center" wrapText="1"/>
    </xf>
    <xf numFmtId="0" fontId="1" fillId="0" borderId="0" xfId="0" applyFont="1" applyBorder="1" applyAlignment="1" applyProtection="1">
      <alignment horizontal="center" wrapText="1"/>
    </xf>
    <xf numFmtId="167" fontId="1" fillId="0" borderId="3" xfId="1" applyNumberFormat="1" applyFont="1" applyBorder="1" applyAlignment="1" applyProtection="1">
      <alignment wrapText="1"/>
    </xf>
    <xf numFmtId="9" fontId="1" fillId="0" borderId="0" xfId="2" applyFont="1" applyAlignment="1" applyProtection="1">
      <alignment wrapText="1"/>
    </xf>
    <xf numFmtId="0" fontId="1" fillId="0" borderId="19" xfId="0" applyFont="1" applyFill="1" applyBorder="1" applyAlignment="1" applyProtection="1">
      <alignment wrapText="1"/>
    </xf>
    <xf numFmtId="0" fontId="2" fillId="0" borderId="7" xfId="0" applyFont="1" applyBorder="1" applyAlignment="1" applyProtection="1"/>
    <xf numFmtId="0" fontId="1" fillId="0" borderId="5" xfId="0" applyFont="1" applyBorder="1" applyAlignment="1" applyProtection="1">
      <alignment wrapText="1"/>
    </xf>
    <xf numFmtId="0" fontId="1" fillId="0" borderId="21" xfId="0" applyFont="1" applyFill="1" applyBorder="1" applyAlignment="1" applyProtection="1">
      <alignment wrapText="1"/>
    </xf>
    <xf numFmtId="0" fontId="1" fillId="0" borderId="16" xfId="0" applyFont="1" applyFill="1" applyBorder="1" applyAlignment="1" applyProtection="1">
      <alignment wrapText="1"/>
    </xf>
    <xf numFmtId="0" fontId="2" fillId="0" borderId="18" xfId="0" applyFont="1" applyBorder="1" applyAlignment="1" applyProtection="1"/>
    <xf numFmtId="0" fontId="1" fillId="0" borderId="2" xfId="0" applyFont="1" applyBorder="1" applyAlignment="1" applyProtection="1">
      <alignment wrapText="1"/>
    </xf>
    <xf numFmtId="0" fontId="1" fillId="0" borderId="17" xfId="0" applyFont="1" applyFill="1" applyBorder="1" applyAlignment="1" applyProtection="1">
      <alignment wrapText="1"/>
    </xf>
    <xf numFmtId="4" fontId="1" fillId="0" borderId="7" xfId="0" applyNumberFormat="1" applyFont="1" applyBorder="1" applyAlignment="1" applyProtection="1">
      <alignment wrapText="1"/>
    </xf>
    <xf numFmtId="0" fontId="1" fillId="0" borderId="17" xfId="0" applyFont="1" applyBorder="1" applyAlignment="1" applyProtection="1">
      <alignment wrapText="1"/>
    </xf>
    <xf numFmtId="4" fontId="1" fillId="0" borderId="16" xfId="0" applyNumberFormat="1" applyFont="1" applyBorder="1" applyAlignment="1" applyProtection="1">
      <alignment wrapText="1"/>
    </xf>
    <xf numFmtId="4" fontId="1" fillId="0" borderId="18" xfId="0" applyNumberFormat="1" applyFont="1" applyBorder="1" applyAlignment="1" applyProtection="1">
      <alignment wrapText="1"/>
    </xf>
    <xf numFmtId="0" fontId="1" fillId="0" borderId="16" xfId="0" applyFont="1" applyBorder="1" applyAlignment="1" applyProtection="1">
      <alignment wrapText="1"/>
    </xf>
    <xf numFmtId="0" fontId="2" fillId="0" borderId="18" xfId="0" applyFont="1" applyBorder="1" applyAlignment="1" applyProtection="1">
      <alignment horizontal="left"/>
    </xf>
    <xf numFmtId="0" fontId="1" fillId="0" borderId="21" xfId="0" applyFont="1" applyBorder="1" applyAlignment="1" applyProtection="1">
      <alignment wrapText="1"/>
    </xf>
    <xf numFmtId="0" fontId="1" fillId="0" borderId="18" xfId="0" applyFont="1" applyBorder="1" applyAlignment="1" applyProtection="1">
      <alignment wrapText="1"/>
    </xf>
    <xf numFmtId="0" fontId="1" fillId="0" borderId="9" xfId="0" applyFont="1" applyBorder="1" applyAlignment="1" applyProtection="1">
      <alignment wrapText="1"/>
    </xf>
    <xf numFmtId="0" fontId="1" fillId="0" borderId="1" xfId="0" applyFont="1" applyBorder="1" applyAlignment="1" applyProtection="1">
      <alignment wrapText="1"/>
    </xf>
    <xf numFmtId="0" fontId="1" fillId="0" borderId="20" xfId="0" applyFont="1" applyFill="1" applyBorder="1" applyAlignment="1" applyProtection="1">
      <alignment wrapText="1"/>
    </xf>
    <xf numFmtId="3" fontId="15" fillId="0" borderId="6" xfId="0" applyNumberFormat="1" applyFont="1" applyBorder="1" applyAlignment="1" applyProtection="1">
      <alignment vertical="center" wrapText="1"/>
    </xf>
    <xf numFmtId="3" fontId="15" fillId="0" borderId="21" xfId="0" applyNumberFormat="1" applyFont="1" applyBorder="1" applyAlignment="1" applyProtection="1">
      <alignment vertical="center" wrapText="1"/>
    </xf>
    <xf numFmtId="3" fontId="15" fillId="0" borderId="1" xfId="0" applyNumberFormat="1" applyFont="1" applyBorder="1" applyAlignment="1" applyProtection="1">
      <alignment vertical="center" wrapText="1"/>
    </xf>
    <xf numFmtId="9" fontId="13" fillId="0" borderId="6" xfId="2" applyFont="1" applyBorder="1" applyAlignment="1" applyProtection="1">
      <alignment horizontal="left" vertical="center" wrapText="1"/>
    </xf>
    <xf numFmtId="9" fontId="13" fillId="0" borderId="21" xfId="2" applyFont="1" applyBorder="1" applyAlignment="1" applyProtection="1">
      <alignment horizontal="left" vertical="center" wrapText="1"/>
    </xf>
    <xf numFmtId="9" fontId="13" fillId="0" borderId="1" xfId="2" applyFont="1" applyBorder="1" applyAlignment="1" applyProtection="1">
      <alignment horizontal="left" vertical="center" wrapText="1"/>
    </xf>
    <xf numFmtId="167" fontId="13" fillId="0" borderId="6" xfId="1" applyNumberFormat="1" applyFont="1" applyBorder="1" applyAlignment="1" applyProtection="1">
      <alignment horizontal="left" vertical="center" wrapText="1"/>
    </xf>
    <xf numFmtId="167" fontId="13" fillId="0" borderId="21" xfId="1" applyNumberFormat="1" applyFont="1" applyBorder="1" applyAlignment="1" applyProtection="1">
      <alignment horizontal="left" vertical="center" wrapText="1"/>
    </xf>
    <xf numFmtId="167" fontId="13" fillId="0" borderId="1" xfId="1" applyNumberFormat="1" applyFont="1" applyBorder="1" applyAlignment="1" applyProtection="1">
      <alignment horizontal="left" vertical="center" wrapText="1"/>
    </xf>
    <xf numFmtId="3" fontId="15" fillId="0" borderId="6" xfId="0" applyNumberFormat="1" applyFont="1" applyBorder="1" applyAlignment="1" applyProtection="1">
      <alignment horizontal="right" vertical="center" wrapText="1"/>
    </xf>
    <xf numFmtId="3" fontId="15" fillId="0" borderId="21" xfId="0" applyNumberFormat="1" applyFont="1" applyBorder="1" applyAlignment="1" applyProtection="1">
      <alignment horizontal="right" vertical="center" wrapText="1"/>
    </xf>
    <xf numFmtId="3" fontId="15" fillId="0" borderId="1" xfId="0" applyNumberFormat="1" applyFont="1" applyBorder="1" applyAlignment="1" applyProtection="1">
      <alignment horizontal="right" vertical="center" wrapText="1"/>
    </xf>
    <xf numFmtId="0" fontId="13" fillId="0" borderId="6" xfId="0" applyFont="1" applyBorder="1" applyAlignment="1" applyProtection="1">
      <alignment horizontal="left" vertical="center" wrapText="1"/>
    </xf>
    <xf numFmtId="0" fontId="13" fillId="0" borderId="21"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167" fontId="13" fillId="3" borderId="6" xfId="1" applyNumberFormat="1" applyFont="1" applyFill="1" applyBorder="1" applyAlignment="1" applyProtection="1">
      <alignment horizontal="left" vertical="center" wrapText="1"/>
    </xf>
    <xf numFmtId="167" fontId="13" fillId="3" borderId="21" xfId="1" applyNumberFormat="1" applyFont="1" applyFill="1" applyBorder="1" applyAlignment="1" applyProtection="1">
      <alignment horizontal="left" vertical="center" wrapText="1"/>
    </xf>
    <xf numFmtId="167" fontId="13" fillId="3" borderId="1" xfId="1" applyNumberFormat="1" applyFont="1" applyFill="1" applyBorder="1" applyAlignment="1" applyProtection="1">
      <alignment horizontal="left" vertical="center" wrapText="1"/>
    </xf>
    <xf numFmtId="0" fontId="13" fillId="3" borderId="6" xfId="0" applyFont="1" applyFill="1" applyBorder="1" applyAlignment="1" applyProtection="1">
      <alignment horizontal="left" vertical="center" wrapText="1"/>
    </xf>
    <xf numFmtId="0" fontId="13" fillId="3" borderId="21" xfId="0" applyFont="1" applyFill="1" applyBorder="1" applyAlignment="1" applyProtection="1">
      <alignment horizontal="left" vertical="center" wrapText="1"/>
    </xf>
    <xf numFmtId="0" fontId="13" fillId="3" borderId="1" xfId="0" applyFont="1" applyFill="1" applyBorder="1" applyAlignment="1" applyProtection="1">
      <alignment horizontal="left" vertical="center" wrapText="1"/>
    </xf>
    <xf numFmtId="9" fontId="13" fillId="0" borderId="6" xfId="2" applyFont="1" applyBorder="1" applyAlignment="1" applyProtection="1">
      <alignment horizontal="center" vertical="center" wrapText="1"/>
    </xf>
    <xf numFmtId="9" fontId="13" fillId="0" borderId="21" xfId="2" applyFont="1" applyBorder="1" applyAlignment="1" applyProtection="1">
      <alignment horizontal="center" vertical="center" wrapText="1"/>
    </xf>
    <xf numFmtId="9" fontId="13" fillId="0" borderId="1" xfId="2" applyFont="1" applyBorder="1" applyAlignment="1" applyProtection="1">
      <alignment horizontal="center" vertical="center" wrapText="1"/>
    </xf>
    <xf numFmtId="0" fontId="16" fillId="0" borderId="6" xfId="0" applyFont="1" applyBorder="1" applyAlignment="1" applyProtection="1">
      <alignment horizontal="left" vertical="center" wrapText="1"/>
    </xf>
    <xf numFmtId="0" fontId="16" fillId="0" borderId="21" xfId="0" applyFont="1" applyBorder="1" applyAlignment="1" applyProtection="1">
      <alignment horizontal="left" vertical="center" wrapText="1"/>
    </xf>
    <xf numFmtId="0" fontId="16" fillId="0" borderId="1" xfId="0" applyFont="1" applyBorder="1" applyAlignment="1" applyProtection="1">
      <alignment horizontal="left" vertical="center" wrapText="1"/>
    </xf>
    <xf numFmtId="0" fontId="1" fillId="10" borderId="6" xfId="0" applyFont="1" applyFill="1" applyBorder="1" applyAlignment="1" applyProtection="1">
      <alignment horizontal="left" vertical="top" wrapText="1"/>
    </xf>
    <xf numFmtId="0" fontId="1" fillId="10" borderId="21" xfId="0" applyFont="1" applyFill="1" applyBorder="1" applyAlignment="1" applyProtection="1">
      <alignment horizontal="left" vertical="top" wrapText="1"/>
    </xf>
    <xf numFmtId="0" fontId="3" fillId="8" borderId="7" xfId="0" applyFont="1" applyFill="1" applyBorder="1" applyAlignment="1" applyProtection="1">
      <alignment horizontal="left" vertical="center"/>
    </xf>
    <xf numFmtId="0" fontId="3" fillId="8" borderId="4" xfId="0" applyFont="1" applyFill="1" applyBorder="1" applyAlignment="1" applyProtection="1">
      <alignment horizontal="left" vertical="center"/>
    </xf>
    <xf numFmtId="0" fontId="3" fillId="8" borderId="5" xfId="0" applyFont="1" applyFill="1" applyBorder="1" applyAlignment="1" applyProtection="1">
      <alignment horizontal="left" vertical="center"/>
    </xf>
    <xf numFmtId="0" fontId="1" fillId="10" borderId="7" xfId="0" applyFont="1" applyFill="1" applyBorder="1" applyAlignment="1" applyProtection="1">
      <alignment horizontal="left" vertical="top" wrapText="1"/>
    </xf>
    <xf numFmtId="0" fontId="1" fillId="10" borderId="5" xfId="0" applyFont="1" applyFill="1" applyBorder="1" applyAlignment="1" applyProtection="1">
      <alignment horizontal="left" vertical="top" wrapText="1"/>
    </xf>
    <xf numFmtId="0" fontId="1" fillId="8" borderId="7" xfId="0" applyFont="1" applyFill="1" applyBorder="1" applyAlignment="1" applyProtection="1">
      <alignment horizontal="left" vertical="top" wrapText="1"/>
    </xf>
    <xf numFmtId="0" fontId="1" fillId="8" borderId="5" xfId="0" applyFont="1" applyFill="1" applyBorder="1" applyAlignment="1" applyProtection="1">
      <alignment horizontal="left" vertical="top" wrapText="1"/>
    </xf>
    <xf numFmtId="0" fontId="1" fillId="10" borderId="14" xfId="0" applyFont="1" applyFill="1" applyBorder="1" applyAlignment="1" applyProtection="1">
      <alignment horizontal="left" vertical="top" wrapText="1"/>
    </xf>
    <xf numFmtId="0" fontId="1" fillId="10" borderId="24" xfId="0" applyFont="1" applyFill="1" applyBorder="1" applyAlignment="1" applyProtection="1">
      <alignment horizontal="left" vertical="top" wrapText="1"/>
    </xf>
    <xf numFmtId="0" fontId="1" fillId="10" borderId="15" xfId="0" applyFont="1" applyFill="1" applyBorder="1" applyAlignment="1" applyProtection="1">
      <alignment horizontal="left" vertical="top" wrapText="1"/>
    </xf>
    <xf numFmtId="0" fontId="1" fillId="10" borderId="26" xfId="0" applyFont="1" applyFill="1" applyBorder="1" applyAlignment="1" applyProtection="1">
      <alignment horizontal="left" vertical="top" wrapText="1"/>
    </xf>
    <xf numFmtId="0" fontId="3" fillId="8" borderId="13" xfId="0" applyFont="1" applyFill="1" applyBorder="1" applyAlignment="1" applyProtection="1">
      <alignment horizontal="left" vertical="center" wrapText="1"/>
    </xf>
    <xf numFmtId="0" fontId="3" fillId="7" borderId="9" xfId="0" applyFont="1" applyFill="1" applyBorder="1" applyAlignment="1" applyProtection="1">
      <alignment horizontal="left" vertical="center" wrapText="1"/>
    </xf>
    <xf numFmtId="0" fontId="3" fillId="8" borderId="7" xfId="0" applyFont="1" applyFill="1" applyBorder="1" applyAlignment="1" applyProtection="1">
      <alignment horizontal="left" vertical="center" wrapText="1"/>
    </xf>
    <xf numFmtId="0" fontId="3" fillId="8" borderId="5" xfId="0" applyFont="1" applyFill="1" applyBorder="1" applyAlignment="1" applyProtection="1">
      <alignment horizontal="left" vertical="center" wrapText="1"/>
    </xf>
    <xf numFmtId="0" fontId="1" fillId="8" borderId="6" xfId="0" applyFont="1" applyFill="1" applyBorder="1" applyAlignment="1" applyProtection="1">
      <alignment horizontal="left" vertical="top" wrapText="1"/>
    </xf>
    <xf numFmtId="0" fontId="1" fillId="8" borderId="21" xfId="0" applyFont="1" applyFill="1" applyBorder="1" applyAlignment="1" applyProtection="1">
      <alignment horizontal="left" vertical="top" wrapText="1"/>
    </xf>
    <xf numFmtId="166" fontId="1" fillId="8" borderId="6" xfId="0" applyNumberFormat="1" applyFont="1" applyFill="1" applyBorder="1" applyAlignment="1" applyProtection="1">
      <alignment horizontal="left" vertical="top" wrapText="1"/>
    </xf>
    <xf numFmtId="166" fontId="1" fillId="8" borderId="21" xfId="0" applyNumberFormat="1" applyFont="1" applyFill="1" applyBorder="1" applyAlignment="1" applyProtection="1">
      <alignment horizontal="left" vertical="top" wrapText="1"/>
    </xf>
    <xf numFmtId="44" fontId="13" fillId="0" borderId="6" xfId="1" applyFont="1" applyBorder="1" applyAlignment="1" applyProtection="1">
      <alignment horizontal="left" vertical="center" wrapText="1"/>
    </xf>
    <xf numFmtId="44" fontId="13" fillId="0" borderId="1" xfId="1" applyFont="1" applyBorder="1" applyAlignment="1" applyProtection="1">
      <alignment horizontal="left" vertical="center" wrapText="1"/>
    </xf>
    <xf numFmtId="6" fontId="13" fillId="0" borderId="6" xfId="1" applyNumberFormat="1" applyFont="1" applyBorder="1" applyAlignment="1" applyProtection="1">
      <alignment horizontal="left" vertical="center" wrapText="1"/>
    </xf>
    <xf numFmtId="6" fontId="13" fillId="0" borderId="21" xfId="1" applyNumberFormat="1" applyFont="1" applyBorder="1" applyAlignment="1" applyProtection="1">
      <alignment horizontal="left" vertical="center" wrapText="1"/>
    </xf>
    <xf numFmtId="6" fontId="13" fillId="0" borderId="1" xfId="1" applyNumberFormat="1"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13" fillId="0" borderId="6"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44" fontId="13" fillId="0" borderId="6" xfId="1" applyFont="1" applyFill="1" applyBorder="1" applyAlignment="1" applyProtection="1">
      <alignment horizontal="left" vertical="center" wrapText="1"/>
    </xf>
    <xf numFmtId="44" fontId="13" fillId="0" borderId="1" xfId="1" applyFont="1" applyFill="1" applyBorder="1" applyAlignment="1" applyProtection="1">
      <alignment horizontal="left" vertical="center" wrapText="1"/>
    </xf>
    <xf numFmtId="0" fontId="16" fillId="0" borderId="6"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 fillId="0" borderId="6"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167" fontId="13" fillId="0" borderId="6" xfId="1" applyNumberFormat="1" applyFont="1" applyBorder="1" applyAlignment="1" applyProtection="1">
      <alignment horizontal="center" vertical="center" wrapText="1"/>
    </xf>
    <xf numFmtId="167" fontId="13" fillId="0" borderId="1" xfId="1" applyNumberFormat="1" applyFont="1" applyBorder="1" applyAlignment="1" applyProtection="1">
      <alignment horizontal="center" vertical="center" wrapText="1"/>
    </xf>
    <xf numFmtId="167" fontId="1" fillId="0" borderId="6" xfId="1" applyNumberFormat="1" applyFont="1" applyFill="1" applyBorder="1" applyAlignment="1" applyProtection="1">
      <alignment horizontal="center" vertical="center" wrapText="1"/>
    </xf>
    <xf numFmtId="167" fontId="1" fillId="0" borderId="1" xfId="1" applyNumberFormat="1" applyFont="1" applyFill="1" applyBorder="1" applyAlignment="1" applyProtection="1">
      <alignment horizontal="center" vertic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92B0D2"/>
      <color rgb="FF6BEFEC"/>
      <color rgb="FF17CFCB"/>
      <color rgb="FF16C8C4"/>
      <color rgb="FF15BBB7"/>
      <color rgb="FF15BDB9"/>
      <color rgb="FF00CC99"/>
      <color rgb="FF00FF99"/>
      <color rgb="FF33CC33"/>
      <color rgb="FF2DC1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800100</xdr:colOff>
      <xdr:row>3</xdr:row>
      <xdr:rowOff>228600</xdr:rowOff>
    </xdr:from>
    <xdr:to>
      <xdr:col>1</xdr:col>
      <xdr:colOff>1209675</xdr:colOff>
      <xdr:row>3</xdr:row>
      <xdr:rowOff>228601</xdr:rowOff>
    </xdr:to>
    <xdr:cxnSp macro="">
      <xdr:nvCxnSpPr>
        <xdr:cNvPr id="3" name="Straight Arrow Connector 2"/>
        <xdr:cNvCxnSpPr/>
      </xdr:nvCxnSpPr>
      <xdr:spPr>
        <a:xfrm flipV="1">
          <a:off x="800100" y="1009650"/>
          <a:ext cx="1771650" cy="1"/>
        </a:xfrm>
        <a:prstGeom prst="straightConnector1">
          <a:avLst/>
        </a:prstGeom>
        <a:ln w="57150" cap="sq">
          <a:solidFill>
            <a:sysClr val="windowText" lastClr="000000"/>
          </a:solidFill>
          <a:miter lim="8000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742950</xdr:colOff>
      <xdr:row>3</xdr:row>
      <xdr:rowOff>238125</xdr:rowOff>
    </xdr:from>
    <xdr:to>
      <xdr:col>5</xdr:col>
      <xdr:colOff>1419225</xdr:colOff>
      <xdr:row>3</xdr:row>
      <xdr:rowOff>239713</xdr:rowOff>
    </xdr:to>
    <xdr:cxnSp macro="">
      <xdr:nvCxnSpPr>
        <xdr:cNvPr id="4" name="Straight Arrow Connector 3"/>
        <xdr:cNvCxnSpPr/>
      </xdr:nvCxnSpPr>
      <xdr:spPr>
        <a:xfrm>
          <a:off x="3733800" y="657225"/>
          <a:ext cx="4591050" cy="1588"/>
        </a:xfrm>
        <a:prstGeom prst="straightConnector1">
          <a:avLst/>
        </a:prstGeom>
        <a:ln w="57150" cap="sq">
          <a:solidFill>
            <a:sysClr val="windowText" lastClr="000000"/>
          </a:solidFill>
          <a:miter lim="8000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238125</xdr:colOff>
      <xdr:row>3</xdr:row>
      <xdr:rowOff>219075</xdr:rowOff>
    </xdr:from>
    <xdr:to>
      <xdr:col>18</xdr:col>
      <xdr:colOff>695325</xdr:colOff>
      <xdr:row>3</xdr:row>
      <xdr:rowOff>220663</xdr:rowOff>
    </xdr:to>
    <xdr:cxnSp macro="">
      <xdr:nvCxnSpPr>
        <xdr:cNvPr id="6" name="Straight Arrow Connector 5"/>
        <xdr:cNvCxnSpPr/>
      </xdr:nvCxnSpPr>
      <xdr:spPr>
        <a:xfrm>
          <a:off x="16621125" y="1000125"/>
          <a:ext cx="2257425" cy="1588"/>
        </a:xfrm>
        <a:prstGeom prst="straightConnector1">
          <a:avLst/>
        </a:prstGeom>
        <a:ln w="57150" cap="sq">
          <a:solidFill>
            <a:sysClr val="windowText" lastClr="000000"/>
          </a:solidFill>
          <a:miter lim="8000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762000</xdr:colOff>
      <xdr:row>3</xdr:row>
      <xdr:rowOff>228600</xdr:rowOff>
    </xdr:from>
    <xdr:to>
      <xdr:col>13</xdr:col>
      <xdr:colOff>733425</xdr:colOff>
      <xdr:row>3</xdr:row>
      <xdr:rowOff>238125</xdr:rowOff>
    </xdr:to>
    <xdr:cxnSp macro="">
      <xdr:nvCxnSpPr>
        <xdr:cNvPr id="7" name="Straight Arrow Connector 6"/>
        <xdr:cNvCxnSpPr/>
      </xdr:nvCxnSpPr>
      <xdr:spPr>
        <a:xfrm>
          <a:off x="8905875" y="1009650"/>
          <a:ext cx="5238750" cy="9525"/>
        </a:xfrm>
        <a:prstGeom prst="straightConnector1">
          <a:avLst/>
        </a:prstGeom>
        <a:ln w="57150" cap="sq">
          <a:solidFill>
            <a:sysClr val="windowText" lastClr="000000"/>
          </a:solidFill>
          <a:miter lim="8000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otech.gatech.edu/plugins/content/index.php?id=7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41"/>
  <sheetViews>
    <sheetView showGridLines="0" tabSelected="1" zoomScaleNormal="100" workbookViewId="0">
      <pane ySplit="7" topLeftCell="A8" activePane="bottomLeft" state="frozen"/>
      <selection pane="bottomLeft"/>
    </sheetView>
  </sheetViews>
  <sheetFormatPr defaultRowHeight="12.75" x14ac:dyDescent="0.2"/>
  <cols>
    <col min="1" max="1" width="20" style="98" customWidth="1"/>
    <col min="2" max="2" width="25" style="98" customWidth="1"/>
    <col min="3" max="3" width="28" style="98" customWidth="1"/>
    <col min="4" max="4" width="23" style="100" customWidth="1"/>
    <col min="5" max="5" width="44.42578125" style="98" customWidth="1"/>
    <col min="6" max="6" width="49" style="98" customWidth="1"/>
    <col min="7" max="7" width="28.140625" style="98" customWidth="1"/>
    <col min="8" max="8" width="15.5703125" style="98" customWidth="1"/>
    <col min="9" max="9" width="9.85546875" style="98" customWidth="1"/>
    <col min="10" max="10" width="11.28515625" style="98" customWidth="1"/>
    <col min="11" max="11" width="11.28515625" style="98" hidden="1" customWidth="1"/>
    <col min="12" max="12" width="21.7109375" style="98" customWidth="1"/>
    <col min="13" max="13" width="14.5703125" style="100" customWidth="1"/>
    <col min="14" max="14" width="20.85546875" style="98" customWidth="1"/>
    <col min="15" max="15" width="14.7109375" style="98" customWidth="1"/>
    <col min="16" max="16" width="16.5703125" style="98" customWidth="1"/>
    <col min="17" max="17" width="13.85546875" style="98" customWidth="1"/>
    <col min="18" max="18" width="12.28515625" style="98" customWidth="1"/>
    <col min="19" max="19" width="13.5703125" style="98" customWidth="1"/>
    <col min="20" max="20" width="11.85546875" style="28" customWidth="1"/>
    <col min="21" max="21" width="14.28515625" style="29" customWidth="1"/>
    <col min="22" max="23" width="12.85546875" style="29" customWidth="1"/>
    <col min="24" max="24" width="14.42578125" style="29" customWidth="1"/>
    <col min="25" max="25" width="15.42578125" style="29" customWidth="1"/>
    <col min="26" max="26" width="12.85546875" style="29" customWidth="1"/>
    <col min="27" max="27" width="15.85546875" style="29" customWidth="1"/>
    <col min="28" max="28" width="10.42578125" style="98" customWidth="1"/>
    <col min="29" max="29" width="11.28515625" style="98" customWidth="1"/>
    <col min="30" max="31" width="10.42578125" style="98" customWidth="1"/>
    <col min="32" max="32" width="10.28515625" style="98" customWidth="1"/>
    <col min="33" max="33" width="10.28515625" style="100" customWidth="1"/>
    <col min="34" max="36" width="9.140625" style="26"/>
    <col min="37" max="75" width="9.140625" style="30"/>
    <col min="76" max="16384" width="9.140625" style="98"/>
  </cols>
  <sheetData>
    <row r="1" spans="1:75" s="19" customFormat="1" ht="18" x14ac:dyDescent="0.25">
      <c r="A1" s="18" t="s">
        <v>56</v>
      </c>
      <c r="B1" s="18"/>
      <c r="C1" s="18"/>
      <c r="D1" s="18"/>
      <c r="E1" s="18"/>
      <c r="F1" s="18"/>
      <c r="G1" s="18"/>
      <c r="H1" s="18"/>
      <c r="M1" s="20"/>
      <c r="T1" s="21"/>
      <c r="U1" s="22"/>
      <c r="V1" s="22"/>
      <c r="W1" s="22"/>
      <c r="X1" s="22"/>
      <c r="Y1" s="22"/>
      <c r="Z1" s="22"/>
      <c r="AA1" s="22"/>
      <c r="AG1" s="20"/>
      <c r="AH1" s="23"/>
      <c r="AI1" s="23"/>
      <c r="AJ1" s="23"/>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row>
    <row r="2" spans="1:75" s="26" customFormat="1" ht="7.5" customHeight="1" x14ac:dyDescent="0.25">
      <c r="A2" s="25"/>
      <c r="B2" s="25"/>
      <c r="C2" s="25"/>
      <c r="D2" s="25"/>
      <c r="E2" s="25"/>
      <c r="F2" s="25"/>
      <c r="G2" s="25"/>
      <c r="H2" s="25"/>
      <c r="M2" s="27"/>
      <c r="T2" s="28"/>
      <c r="U2" s="29"/>
      <c r="V2" s="29"/>
      <c r="W2" s="29"/>
      <c r="X2" s="29"/>
      <c r="Y2" s="29"/>
      <c r="Z2" s="29"/>
      <c r="AA2" s="29"/>
      <c r="AG2" s="27"/>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row>
    <row r="3" spans="1:75" s="33" customFormat="1" ht="7.5" customHeight="1" x14ac:dyDescent="0.2">
      <c r="A3" s="31"/>
      <c r="B3" s="32"/>
      <c r="D3" s="34"/>
      <c r="M3" s="34"/>
      <c r="T3" s="35"/>
      <c r="U3" s="36"/>
      <c r="V3" s="36"/>
      <c r="W3" s="36"/>
      <c r="X3" s="36"/>
      <c r="Y3" s="36"/>
      <c r="Z3" s="36"/>
      <c r="AA3" s="36"/>
      <c r="AG3" s="34"/>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row>
    <row r="4" spans="1:75" s="47" customFormat="1" ht="34.5" customHeight="1" thickBot="1" x14ac:dyDescent="0.25">
      <c r="A4" s="38" t="s">
        <v>24</v>
      </c>
      <c r="B4" s="39"/>
      <c r="C4" s="40" t="s">
        <v>25</v>
      </c>
      <c r="D4" s="40"/>
      <c r="E4" s="40"/>
      <c r="F4" s="40"/>
      <c r="G4" s="41" t="s">
        <v>26</v>
      </c>
      <c r="H4" s="41"/>
      <c r="I4" s="41"/>
      <c r="J4" s="41"/>
      <c r="K4" s="41"/>
      <c r="L4" s="41"/>
      <c r="M4" s="42"/>
      <c r="N4" s="41"/>
      <c r="O4" s="170" t="s">
        <v>27</v>
      </c>
      <c r="P4" s="170"/>
      <c r="Q4" s="43"/>
      <c r="R4" s="43"/>
      <c r="S4" s="43"/>
      <c r="T4" s="44"/>
      <c r="U4" s="45"/>
      <c r="V4" s="45"/>
      <c r="W4" s="45"/>
      <c r="X4" s="45"/>
      <c r="Y4" s="45"/>
      <c r="Z4" s="45"/>
      <c r="AA4" s="45"/>
      <c r="AB4" s="46"/>
      <c r="AG4" s="48"/>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row>
    <row r="5" spans="1:75" s="57" customFormat="1" ht="38.25" customHeight="1" thickBot="1" x14ac:dyDescent="0.25">
      <c r="A5" s="50" t="s">
        <v>16</v>
      </c>
      <c r="B5" s="50" t="s">
        <v>63</v>
      </c>
      <c r="C5" s="171" t="s">
        <v>0</v>
      </c>
      <c r="D5" s="172"/>
      <c r="E5" s="51" t="s">
        <v>54</v>
      </c>
      <c r="F5" s="169" t="s">
        <v>29</v>
      </c>
      <c r="G5" s="169"/>
      <c r="H5" s="169"/>
      <c r="I5" s="169"/>
      <c r="J5" s="169"/>
      <c r="K5" s="169"/>
      <c r="L5" s="169"/>
      <c r="M5" s="169"/>
      <c r="N5" s="169"/>
      <c r="O5" s="52" t="s">
        <v>19</v>
      </c>
      <c r="P5" s="52" t="s">
        <v>18</v>
      </c>
      <c r="Q5" s="52" t="s">
        <v>17</v>
      </c>
      <c r="R5" s="50" t="s">
        <v>20</v>
      </c>
      <c r="S5" s="50" t="s">
        <v>1</v>
      </c>
      <c r="T5" s="53"/>
      <c r="U5" s="158" t="s">
        <v>7</v>
      </c>
      <c r="V5" s="159"/>
      <c r="W5" s="159"/>
      <c r="X5" s="159"/>
      <c r="Y5" s="159"/>
      <c r="Z5" s="160"/>
      <c r="AA5" s="54"/>
      <c r="AB5" s="158" t="s">
        <v>7</v>
      </c>
      <c r="AC5" s="159"/>
      <c r="AD5" s="159"/>
      <c r="AE5" s="159"/>
      <c r="AF5" s="159"/>
      <c r="AG5" s="160"/>
      <c r="AH5" s="55"/>
      <c r="AI5" s="55"/>
      <c r="AJ5" s="55"/>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row>
    <row r="6" spans="1:75" s="68" customFormat="1" ht="28.5" customHeight="1" thickBot="1" x14ac:dyDescent="0.25">
      <c r="A6" s="173" t="s">
        <v>52</v>
      </c>
      <c r="B6" s="173" t="s">
        <v>31</v>
      </c>
      <c r="C6" s="173" t="s">
        <v>32</v>
      </c>
      <c r="D6" s="175" t="s">
        <v>44</v>
      </c>
      <c r="E6" s="165" t="s">
        <v>55</v>
      </c>
      <c r="F6" s="58" t="s">
        <v>2</v>
      </c>
      <c r="G6" s="58" t="s">
        <v>3</v>
      </c>
      <c r="H6" s="58" t="s">
        <v>4</v>
      </c>
      <c r="I6" s="58" t="s">
        <v>6</v>
      </c>
      <c r="J6" s="58" t="s">
        <v>5</v>
      </c>
      <c r="K6" s="58" t="s">
        <v>49</v>
      </c>
      <c r="L6" s="58" t="s">
        <v>28</v>
      </c>
      <c r="M6" s="59" t="s">
        <v>45</v>
      </c>
      <c r="N6" s="58" t="s">
        <v>4</v>
      </c>
      <c r="O6" s="167" t="s">
        <v>37</v>
      </c>
      <c r="P6" s="156" t="s">
        <v>22</v>
      </c>
      <c r="Q6" s="156" t="s">
        <v>21</v>
      </c>
      <c r="R6" s="156" t="s">
        <v>23</v>
      </c>
      <c r="S6" s="156" t="s">
        <v>38</v>
      </c>
      <c r="T6" s="60"/>
      <c r="U6" s="161" t="s">
        <v>30</v>
      </c>
      <c r="V6" s="162"/>
      <c r="W6" s="61">
        <v>2.5000000000000001E-2</v>
      </c>
      <c r="X6" s="62"/>
      <c r="Y6" s="161"/>
      <c r="Z6" s="162"/>
      <c r="AA6" s="63"/>
      <c r="AB6" s="163" t="s">
        <v>30</v>
      </c>
      <c r="AC6" s="164"/>
      <c r="AD6" s="64"/>
      <c r="AE6" s="65"/>
      <c r="AF6" s="163"/>
      <c r="AG6" s="164"/>
      <c r="AH6" s="66"/>
      <c r="AI6" s="66"/>
      <c r="AJ6" s="66"/>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row>
    <row r="7" spans="1:75" s="68" customFormat="1" ht="76.5" x14ac:dyDescent="0.2">
      <c r="A7" s="174"/>
      <c r="B7" s="174"/>
      <c r="C7" s="174"/>
      <c r="D7" s="176"/>
      <c r="E7" s="166"/>
      <c r="F7" s="69" t="s">
        <v>42</v>
      </c>
      <c r="G7" s="69" t="s">
        <v>33</v>
      </c>
      <c r="H7" s="69" t="s">
        <v>34</v>
      </c>
      <c r="I7" s="69" t="s">
        <v>35</v>
      </c>
      <c r="J7" s="69" t="s">
        <v>48</v>
      </c>
      <c r="K7" s="69" t="s">
        <v>47</v>
      </c>
      <c r="L7" s="69" t="s">
        <v>36</v>
      </c>
      <c r="M7" s="70" t="s">
        <v>43</v>
      </c>
      <c r="N7" s="69" t="s">
        <v>34</v>
      </c>
      <c r="O7" s="168"/>
      <c r="P7" s="157"/>
      <c r="Q7" s="157"/>
      <c r="R7" s="157"/>
      <c r="S7" s="157"/>
      <c r="T7" s="60"/>
      <c r="U7" s="71" t="s">
        <v>46</v>
      </c>
      <c r="V7" s="71" t="s">
        <v>11</v>
      </c>
      <c r="W7" s="71" t="s">
        <v>12</v>
      </c>
      <c r="X7" s="71" t="s">
        <v>13</v>
      </c>
      <c r="Y7" s="71" t="s">
        <v>14</v>
      </c>
      <c r="Z7" s="72" t="s">
        <v>15</v>
      </c>
      <c r="AA7" s="63"/>
      <c r="AB7" s="73" t="s">
        <v>46</v>
      </c>
      <c r="AC7" s="73" t="s">
        <v>11</v>
      </c>
      <c r="AD7" s="73" t="s">
        <v>12</v>
      </c>
      <c r="AE7" s="73" t="s">
        <v>13</v>
      </c>
      <c r="AF7" s="73" t="s">
        <v>14</v>
      </c>
      <c r="AG7" s="74" t="s">
        <v>15</v>
      </c>
      <c r="AH7" s="66"/>
      <c r="AI7" s="66"/>
      <c r="AJ7" s="66"/>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row>
    <row r="8" spans="1:75" s="83" customFormat="1" ht="76.5" x14ac:dyDescent="0.2">
      <c r="A8" s="141" t="s">
        <v>74</v>
      </c>
      <c r="B8" s="141" t="s">
        <v>58</v>
      </c>
      <c r="C8" s="153" t="s">
        <v>115</v>
      </c>
      <c r="D8" s="179">
        <v>52650</v>
      </c>
      <c r="E8" s="141" t="s">
        <v>85</v>
      </c>
      <c r="F8" s="75" t="s">
        <v>117</v>
      </c>
      <c r="G8" s="76" t="s">
        <v>79</v>
      </c>
      <c r="H8" s="75" t="s">
        <v>60</v>
      </c>
      <c r="I8" s="75"/>
      <c r="J8" s="75"/>
      <c r="K8" s="75"/>
      <c r="L8" s="75"/>
      <c r="M8" s="77"/>
      <c r="N8" s="75"/>
      <c r="O8" s="78">
        <v>0</v>
      </c>
      <c r="P8" s="78">
        <v>0</v>
      </c>
      <c r="Q8" s="78">
        <v>0</v>
      </c>
      <c r="R8" s="78">
        <v>0</v>
      </c>
      <c r="S8" s="77">
        <f>I8*M8*(1-O8)*(1-P8)*(1-Q8)</f>
        <v>0</v>
      </c>
      <c r="T8" s="79"/>
      <c r="U8" s="14">
        <f t="shared" ref="U8:U26" si="0">IF(K8=1,AB8,0)</f>
        <v>0</v>
      </c>
      <c r="V8" s="14">
        <f t="shared" ref="V8:V26" si="1">IF(K8=1,AC8, AB8)</f>
        <v>0</v>
      </c>
      <c r="W8" s="14">
        <f t="shared" ref="W8:W26" si="2">AD8</f>
        <v>0</v>
      </c>
      <c r="X8" s="14">
        <f t="shared" ref="X8:X26" si="3">AE8</f>
        <v>0</v>
      </c>
      <c r="Y8" s="14">
        <f t="shared" ref="Y8:Y26" si="4">AF8</f>
        <v>0</v>
      </c>
      <c r="Z8" s="14">
        <f t="shared" ref="Z8:Z26" si="5">AG8</f>
        <v>0</v>
      </c>
      <c r="AA8" s="80"/>
      <c r="AB8" s="14">
        <f>IF(J8&gt;=0,S8,0)</f>
        <v>0</v>
      </c>
      <c r="AC8" s="14">
        <f t="shared" ref="AC8:AC26" si="6">IF(J8&gt;=1,S8,0)</f>
        <v>0</v>
      </c>
      <c r="AD8" s="14">
        <f t="shared" ref="AD8:AD26" si="7">IF(J8&gt;1,AC8,0)*(1-R8)</f>
        <v>0</v>
      </c>
      <c r="AE8" s="14">
        <f t="shared" ref="AE8:AE26" si="8">IF(J8&gt;2,AD8,0)*(1-R8)</f>
        <v>0</v>
      </c>
      <c r="AF8" s="14">
        <f>IF(J8&gt;3,AE8,0)*(1-R8)</f>
        <v>0</v>
      </c>
      <c r="AG8" s="14">
        <f>IF(J8&gt;4,AF8,0)*(1-R8)</f>
        <v>0</v>
      </c>
      <c r="AH8" s="81"/>
      <c r="AI8" s="81"/>
      <c r="AJ8" s="81"/>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row>
    <row r="9" spans="1:75" s="83" customFormat="1" x14ac:dyDescent="0.2">
      <c r="A9" s="142"/>
      <c r="B9" s="142"/>
      <c r="C9" s="154"/>
      <c r="D9" s="180"/>
      <c r="E9" s="142"/>
      <c r="F9" s="141" t="s">
        <v>109</v>
      </c>
      <c r="G9" s="153" t="s">
        <v>80</v>
      </c>
      <c r="H9" s="141" t="s">
        <v>57</v>
      </c>
      <c r="I9" s="141">
        <v>1</v>
      </c>
      <c r="J9" s="141">
        <v>1</v>
      </c>
      <c r="K9" s="75">
        <v>2</v>
      </c>
      <c r="L9" s="141" t="s">
        <v>81</v>
      </c>
      <c r="M9" s="144">
        <v>10000</v>
      </c>
      <c r="N9" s="147" t="s">
        <v>104</v>
      </c>
      <c r="O9" s="132">
        <v>0</v>
      </c>
      <c r="P9" s="150">
        <v>0</v>
      </c>
      <c r="Q9" s="132">
        <v>0.5</v>
      </c>
      <c r="R9" s="132">
        <v>0</v>
      </c>
      <c r="S9" s="135">
        <f t="shared" ref="S9" si="9">I9*M9*(1-O9)*(1-P9)*(1-Q9)</f>
        <v>5000</v>
      </c>
      <c r="T9" s="79"/>
      <c r="U9" s="129">
        <f>IF(K10=1,AB10,0)</f>
        <v>0</v>
      </c>
      <c r="V9" s="138">
        <f t="shared" si="1"/>
        <v>5000</v>
      </c>
      <c r="W9" s="129">
        <f>AD10</f>
        <v>0</v>
      </c>
      <c r="X9" s="129">
        <f>AE10</f>
        <v>0</v>
      </c>
      <c r="Y9" s="129">
        <f>AF10</f>
        <v>0</v>
      </c>
      <c r="Z9" s="129">
        <f>AG10</f>
        <v>0</v>
      </c>
      <c r="AA9" s="80"/>
      <c r="AB9" s="129">
        <f t="shared" ref="AB9" si="10">IF(J9&gt;=0,S9,0)</f>
        <v>5000</v>
      </c>
      <c r="AC9" s="129">
        <f t="shared" si="6"/>
        <v>5000</v>
      </c>
      <c r="AD9" s="129">
        <f t="shared" si="7"/>
        <v>0</v>
      </c>
      <c r="AE9" s="129">
        <f t="shared" si="8"/>
        <v>0</v>
      </c>
      <c r="AF9" s="129">
        <f t="shared" ref="AF9" si="11">IF(J9&gt;3,AE9,0)*(1-R9)</f>
        <v>0</v>
      </c>
      <c r="AG9" s="129">
        <f t="shared" ref="AG9" si="12">IF(J9&gt;4,AF9,0)*(1-R9)</f>
        <v>0</v>
      </c>
      <c r="AH9" s="81"/>
      <c r="AI9" s="81"/>
      <c r="AJ9" s="81"/>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row>
    <row r="10" spans="1:75" s="83" customFormat="1" x14ac:dyDescent="0.2">
      <c r="A10" s="142"/>
      <c r="B10" s="142"/>
      <c r="C10" s="154"/>
      <c r="D10" s="180"/>
      <c r="E10" s="142"/>
      <c r="F10" s="142"/>
      <c r="G10" s="154"/>
      <c r="H10" s="142"/>
      <c r="I10" s="142"/>
      <c r="J10" s="142"/>
      <c r="K10" s="75">
        <v>2</v>
      </c>
      <c r="L10" s="142"/>
      <c r="M10" s="145"/>
      <c r="N10" s="148"/>
      <c r="O10" s="133"/>
      <c r="P10" s="151"/>
      <c r="Q10" s="133"/>
      <c r="R10" s="133"/>
      <c r="S10" s="136"/>
      <c r="T10" s="79"/>
      <c r="U10" s="130"/>
      <c r="V10" s="139"/>
      <c r="W10" s="130"/>
      <c r="X10" s="130"/>
      <c r="Y10" s="130"/>
      <c r="Z10" s="130"/>
      <c r="AA10" s="80"/>
      <c r="AB10" s="130"/>
      <c r="AC10" s="130"/>
      <c r="AD10" s="130"/>
      <c r="AE10" s="130"/>
      <c r="AF10" s="130"/>
      <c r="AG10" s="130"/>
      <c r="AH10" s="81"/>
      <c r="AI10" s="81"/>
      <c r="AJ10" s="81"/>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row>
    <row r="11" spans="1:75" s="83" customFormat="1" x14ac:dyDescent="0.2">
      <c r="A11" s="143"/>
      <c r="B11" s="143"/>
      <c r="C11" s="155"/>
      <c r="D11" s="181"/>
      <c r="E11" s="143"/>
      <c r="F11" s="143"/>
      <c r="G11" s="155"/>
      <c r="H11" s="143"/>
      <c r="I11" s="143"/>
      <c r="J11" s="143"/>
      <c r="K11" s="75">
        <v>2</v>
      </c>
      <c r="L11" s="143"/>
      <c r="M11" s="146"/>
      <c r="N11" s="149"/>
      <c r="O11" s="134"/>
      <c r="P11" s="152"/>
      <c r="Q11" s="134"/>
      <c r="R11" s="134"/>
      <c r="S11" s="137"/>
      <c r="T11" s="79"/>
      <c r="U11" s="131"/>
      <c r="V11" s="140"/>
      <c r="W11" s="131"/>
      <c r="X11" s="131"/>
      <c r="Y11" s="131"/>
      <c r="Z11" s="131"/>
      <c r="AA11" s="80"/>
      <c r="AB11" s="131"/>
      <c r="AC11" s="131"/>
      <c r="AD11" s="131"/>
      <c r="AE11" s="131"/>
      <c r="AF11" s="131"/>
      <c r="AG11" s="131"/>
      <c r="AH11" s="81"/>
      <c r="AI11" s="81"/>
      <c r="AJ11" s="81"/>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row>
    <row r="12" spans="1:75" s="83" customFormat="1" ht="42" customHeight="1" x14ac:dyDescent="0.2">
      <c r="A12" s="75" t="s">
        <v>59</v>
      </c>
      <c r="B12" s="75" t="s">
        <v>113</v>
      </c>
      <c r="C12" s="75" t="s">
        <v>114</v>
      </c>
      <c r="D12" s="84">
        <f>1042095+10000</f>
        <v>1052095</v>
      </c>
      <c r="E12" s="85"/>
      <c r="F12" s="75"/>
      <c r="G12" s="75"/>
      <c r="H12" s="75"/>
      <c r="I12" s="75"/>
      <c r="J12" s="75"/>
      <c r="K12" s="75"/>
      <c r="L12" s="75"/>
      <c r="M12" s="77"/>
      <c r="N12" s="75"/>
      <c r="O12" s="78">
        <v>0</v>
      </c>
      <c r="P12" s="78">
        <v>0</v>
      </c>
      <c r="Q12" s="78">
        <v>0</v>
      </c>
      <c r="R12" s="78">
        <v>0</v>
      </c>
      <c r="S12" s="77">
        <f t="shared" ref="S12:S13" si="13">I12*M12*(1-O12)*(1-P12)*(1-Q12)</f>
        <v>0</v>
      </c>
      <c r="T12" s="79"/>
      <c r="U12" s="14">
        <f t="shared" ref="U12" si="14">IF(K12=1,AB12,0)</f>
        <v>0</v>
      </c>
      <c r="V12" s="14">
        <f t="shared" ref="V12" si="15">IF(K12=1,AC12, AB12)</f>
        <v>0</v>
      </c>
      <c r="W12" s="14">
        <f t="shared" ref="W12" si="16">AD12</f>
        <v>0</v>
      </c>
      <c r="X12" s="14">
        <f t="shared" ref="X12" si="17">AE12</f>
        <v>0</v>
      </c>
      <c r="Y12" s="14">
        <f t="shared" ref="Y12" si="18">AF12</f>
        <v>0</v>
      </c>
      <c r="Z12" s="14">
        <f t="shared" ref="Z12" si="19">AG12</f>
        <v>0</v>
      </c>
      <c r="AA12" s="80"/>
      <c r="AB12" s="14">
        <f t="shared" ref="AB12" si="20">IF(J12&gt;=0,S12,0)</f>
        <v>0</v>
      </c>
      <c r="AC12" s="14">
        <f t="shared" ref="AC12" si="21">IF(J12&gt;=1,S12,0)</f>
        <v>0</v>
      </c>
      <c r="AD12" s="14">
        <f t="shared" ref="AD12" si="22">IF(J12&gt;1,AC12,0)*(1-R12)</f>
        <v>0</v>
      </c>
      <c r="AE12" s="14">
        <f t="shared" ref="AE12" si="23">IF(J12&gt;2,AD12,0)*(1-R12)</f>
        <v>0</v>
      </c>
      <c r="AF12" s="14">
        <f t="shared" ref="AF12" si="24">IF(J12&gt;3,AE12,0)*(1-R12)</f>
        <v>0</v>
      </c>
      <c r="AG12" s="14">
        <f t="shared" ref="AG12" si="25">IF(J12&gt;4,AF12,0)*(1-R12)</f>
        <v>0</v>
      </c>
      <c r="AH12" s="81"/>
      <c r="AI12" s="81"/>
      <c r="AJ12" s="81"/>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row>
    <row r="13" spans="1:75" s="83" customFormat="1" ht="42.75" customHeight="1" x14ac:dyDescent="0.2">
      <c r="A13" s="141" t="s">
        <v>82</v>
      </c>
      <c r="B13" s="141" t="s">
        <v>62</v>
      </c>
      <c r="C13" s="141" t="s">
        <v>65</v>
      </c>
      <c r="D13" s="179"/>
      <c r="E13" s="141" t="s">
        <v>78</v>
      </c>
      <c r="F13" s="85" t="s">
        <v>107</v>
      </c>
      <c r="G13" s="75" t="s">
        <v>103</v>
      </c>
      <c r="H13" s="75" t="s">
        <v>75</v>
      </c>
      <c r="I13" s="75"/>
      <c r="J13" s="75"/>
      <c r="K13" s="75"/>
      <c r="L13" s="75"/>
      <c r="M13" s="77"/>
      <c r="N13" s="75"/>
      <c r="O13" s="78">
        <v>0</v>
      </c>
      <c r="P13" s="78">
        <v>0</v>
      </c>
      <c r="Q13" s="78">
        <v>0</v>
      </c>
      <c r="R13" s="78">
        <v>0</v>
      </c>
      <c r="S13" s="77">
        <f t="shared" si="13"/>
        <v>0</v>
      </c>
      <c r="T13" s="79"/>
      <c r="U13" s="14">
        <f>IF(K13=1,AB13,0)</f>
        <v>0</v>
      </c>
      <c r="V13" s="14">
        <f>IF(K13=1,AC13, AB13)</f>
        <v>0</v>
      </c>
      <c r="W13" s="14">
        <f>AD13</f>
        <v>0</v>
      </c>
      <c r="X13" s="14">
        <f>AE13</f>
        <v>0</v>
      </c>
      <c r="Y13" s="14">
        <f>AF13</f>
        <v>0</v>
      </c>
      <c r="Z13" s="14">
        <f>AG13</f>
        <v>0</v>
      </c>
      <c r="AA13" s="80"/>
      <c r="AB13" s="14">
        <f>IF(J13&gt;=0,S13,0)</f>
        <v>0</v>
      </c>
      <c r="AC13" s="14">
        <f>IF(J13&gt;=1,S13,0)</f>
        <v>0</v>
      </c>
      <c r="AD13" s="14">
        <f>IF(J13&gt;1,AC13,0)*(1-R13)</f>
        <v>0</v>
      </c>
      <c r="AE13" s="14">
        <f>IF(J13&gt;2,AD13,0)*(1-R13)</f>
        <v>0</v>
      </c>
      <c r="AF13" s="14">
        <f>IF(J13&gt;3,AD13,0)*(1-R13)</f>
        <v>0</v>
      </c>
      <c r="AG13" s="14">
        <f>IF(J13&gt;4,AF13,0)*(1-R13)</f>
        <v>0</v>
      </c>
      <c r="AH13" s="81"/>
      <c r="AI13" s="81"/>
      <c r="AJ13" s="81"/>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row>
    <row r="14" spans="1:75" s="83" customFormat="1" ht="51" x14ac:dyDescent="0.2">
      <c r="A14" s="142"/>
      <c r="B14" s="142"/>
      <c r="C14" s="142"/>
      <c r="D14" s="180"/>
      <c r="E14" s="142"/>
      <c r="F14" s="85" t="s">
        <v>110</v>
      </c>
      <c r="G14" s="75" t="s">
        <v>120</v>
      </c>
      <c r="H14" s="75" t="s">
        <v>57</v>
      </c>
      <c r="I14" s="86">
        <v>6</v>
      </c>
      <c r="J14" s="75">
        <v>1</v>
      </c>
      <c r="K14" s="75">
        <v>2</v>
      </c>
      <c r="L14" s="75" t="s">
        <v>121</v>
      </c>
      <c r="M14" s="77">
        <v>879</v>
      </c>
      <c r="N14" s="75" t="s">
        <v>95</v>
      </c>
      <c r="O14" s="87">
        <v>0</v>
      </c>
      <c r="P14" s="87">
        <v>0</v>
      </c>
      <c r="Q14" s="87">
        <v>0</v>
      </c>
      <c r="R14" s="78">
        <v>0</v>
      </c>
      <c r="S14" s="77">
        <f t="shared" ref="S14" si="26">I14*M14*(1-O14)*(1-P14)*(1-Q14)</f>
        <v>5274</v>
      </c>
      <c r="T14" s="79"/>
      <c r="U14" s="14">
        <f t="shared" ref="U14:U16" si="27">IF(K14=1,AB14,0)</f>
        <v>0</v>
      </c>
      <c r="V14" s="14">
        <f t="shared" ref="V14:V16" si="28">IF(K14=1,AC14, AB14)</f>
        <v>5274</v>
      </c>
      <c r="W14" s="14">
        <f t="shared" ref="W14:W16" si="29">AD14</f>
        <v>0</v>
      </c>
      <c r="X14" s="14">
        <f t="shared" ref="X14:X16" si="30">AE14</f>
        <v>0</v>
      </c>
      <c r="Y14" s="14">
        <f t="shared" ref="Y14:Y16" si="31">AF14</f>
        <v>0</v>
      </c>
      <c r="Z14" s="14">
        <f t="shared" ref="Z14:Z16" si="32">AG14</f>
        <v>0</v>
      </c>
      <c r="AA14" s="80"/>
      <c r="AB14" s="14">
        <f t="shared" ref="AB14:AB16" si="33">IF(J14&gt;=0,S14,0)</f>
        <v>5274</v>
      </c>
      <c r="AC14" s="14">
        <f t="shared" ref="AC14:AC16" si="34">IF(J14&gt;=1,S14,0)</f>
        <v>5274</v>
      </c>
      <c r="AD14" s="14">
        <f t="shared" ref="AD14:AD16" si="35">IF(J14&gt;1,AC14,0)*(1-R14)</f>
        <v>0</v>
      </c>
      <c r="AE14" s="14">
        <f t="shared" ref="AE14:AE16" si="36">IF(J14&gt;2,AD14,0)*(1-R14)</f>
        <v>0</v>
      </c>
      <c r="AF14" s="14">
        <f t="shared" ref="AF14:AF16" si="37">IF(J14&gt;3,AD14,0)*(1-R14)</f>
        <v>0</v>
      </c>
      <c r="AG14" s="14">
        <f t="shared" ref="AG14:AG16" si="38">IF(J14&gt;4,AF14,0)*(1-R14)</f>
        <v>0</v>
      </c>
      <c r="AH14" s="81"/>
      <c r="AI14" s="81"/>
      <c r="AJ14" s="81"/>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row>
    <row r="15" spans="1:75" s="83" customFormat="1" ht="63" customHeight="1" x14ac:dyDescent="0.2">
      <c r="A15" s="143"/>
      <c r="B15" s="143"/>
      <c r="C15" s="143"/>
      <c r="D15" s="181"/>
      <c r="E15" s="143"/>
      <c r="F15" s="85" t="s">
        <v>111</v>
      </c>
      <c r="G15" s="75" t="s">
        <v>120</v>
      </c>
      <c r="H15" s="75" t="s">
        <v>57</v>
      </c>
      <c r="I15" s="86">
        <v>6</v>
      </c>
      <c r="J15" s="75">
        <v>1</v>
      </c>
      <c r="K15" s="75">
        <v>2</v>
      </c>
      <c r="L15" s="75" t="s">
        <v>121</v>
      </c>
      <c r="M15" s="77">
        <v>879</v>
      </c>
      <c r="N15" s="75" t="s">
        <v>95</v>
      </c>
      <c r="O15" s="87">
        <v>0</v>
      </c>
      <c r="P15" s="87">
        <v>0</v>
      </c>
      <c r="Q15" s="87">
        <v>0</v>
      </c>
      <c r="R15" s="78">
        <v>0</v>
      </c>
      <c r="S15" s="77">
        <f t="shared" ref="S15" si="39">I15*M15*(1-O15)*(1-P15)*(1-Q15)</f>
        <v>5274</v>
      </c>
      <c r="T15" s="79"/>
      <c r="U15" s="14">
        <f t="shared" si="27"/>
        <v>0</v>
      </c>
      <c r="V15" s="14">
        <f t="shared" si="28"/>
        <v>5274</v>
      </c>
      <c r="W15" s="14">
        <f t="shared" si="29"/>
        <v>0</v>
      </c>
      <c r="X15" s="14">
        <f t="shared" si="30"/>
        <v>0</v>
      </c>
      <c r="Y15" s="14">
        <f t="shared" si="31"/>
        <v>0</v>
      </c>
      <c r="Z15" s="14">
        <f t="shared" si="32"/>
        <v>0</v>
      </c>
      <c r="AA15" s="80"/>
      <c r="AB15" s="14">
        <f t="shared" si="33"/>
        <v>5274</v>
      </c>
      <c r="AC15" s="14">
        <f t="shared" si="34"/>
        <v>5274</v>
      </c>
      <c r="AD15" s="14">
        <f t="shared" si="35"/>
        <v>0</v>
      </c>
      <c r="AE15" s="14">
        <f t="shared" si="36"/>
        <v>0</v>
      </c>
      <c r="AF15" s="14">
        <f t="shared" si="37"/>
        <v>0</v>
      </c>
      <c r="AG15" s="14">
        <f t="shared" si="38"/>
        <v>0</v>
      </c>
      <c r="AH15" s="81"/>
      <c r="AI15" s="81"/>
      <c r="AJ15" s="81"/>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row>
    <row r="16" spans="1:75" s="83" customFormat="1" ht="63.75" x14ac:dyDescent="0.2">
      <c r="A16" s="75" t="s">
        <v>70</v>
      </c>
      <c r="B16" s="75" t="s">
        <v>71</v>
      </c>
      <c r="C16" s="75" t="s">
        <v>65</v>
      </c>
      <c r="D16" s="84"/>
      <c r="E16" s="85" t="s">
        <v>72</v>
      </c>
      <c r="F16" s="85" t="s">
        <v>108</v>
      </c>
      <c r="G16" s="75" t="s">
        <v>76</v>
      </c>
      <c r="H16" s="75"/>
      <c r="I16" s="75"/>
      <c r="J16" s="75"/>
      <c r="K16" s="75"/>
      <c r="L16" s="75"/>
      <c r="M16" s="77"/>
      <c r="N16" s="75"/>
      <c r="O16" s="78">
        <v>0</v>
      </c>
      <c r="P16" s="78">
        <v>0</v>
      </c>
      <c r="Q16" s="78">
        <v>0</v>
      </c>
      <c r="R16" s="78">
        <v>0</v>
      </c>
      <c r="S16" s="77">
        <f t="shared" ref="S16:S22" si="40">I16*M16*(1-O16)*(1-P16)*(1-Q16)</f>
        <v>0</v>
      </c>
      <c r="T16" s="79"/>
      <c r="U16" s="14">
        <f t="shared" si="27"/>
        <v>0</v>
      </c>
      <c r="V16" s="14">
        <f t="shared" si="28"/>
        <v>0</v>
      </c>
      <c r="W16" s="14">
        <f t="shared" si="29"/>
        <v>0</v>
      </c>
      <c r="X16" s="14">
        <f t="shared" si="30"/>
        <v>0</v>
      </c>
      <c r="Y16" s="14">
        <f t="shared" si="31"/>
        <v>0</v>
      </c>
      <c r="Z16" s="14">
        <f t="shared" si="32"/>
        <v>0</v>
      </c>
      <c r="AA16" s="80"/>
      <c r="AB16" s="14">
        <f t="shared" si="33"/>
        <v>0</v>
      </c>
      <c r="AC16" s="14">
        <f t="shared" si="34"/>
        <v>0</v>
      </c>
      <c r="AD16" s="14">
        <f t="shared" si="35"/>
        <v>0</v>
      </c>
      <c r="AE16" s="14">
        <f t="shared" si="36"/>
        <v>0</v>
      </c>
      <c r="AF16" s="14">
        <f t="shared" si="37"/>
        <v>0</v>
      </c>
      <c r="AG16" s="14">
        <f t="shared" si="38"/>
        <v>0</v>
      </c>
      <c r="AH16" s="81"/>
      <c r="AI16" s="81"/>
      <c r="AJ16" s="81"/>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row>
    <row r="17" spans="1:75" s="83" customFormat="1" ht="146.25" customHeight="1" x14ac:dyDescent="0.2">
      <c r="A17" s="141" t="s">
        <v>73</v>
      </c>
      <c r="B17" s="141" t="s">
        <v>69</v>
      </c>
      <c r="C17" s="141" t="s">
        <v>65</v>
      </c>
      <c r="D17" s="179"/>
      <c r="E17" s="141" t="s">
        <v>77</v>
      </c>
      <c r="F17" s="75" t="s">
        <v>118</v>
      </c>
      <c r="G17" s="88" t="s">
        <v>94</v>
      </c>
      <c r="H17" s="75" t="s">
        <v>61</v>
      </c>
      <c r="I17" s="75"/>
      <c r="J17" s="75"/>
      <c r="K17" s="75"/>
      <c r="L17" s="75"/>
      <c r="M17" s="77"/>
      <c r="N17" s="75"/>
      <c r="O17" s="78">
        <v>0</v>
      </c>
      <c r="P17" s="78">
        <v>0</v>
      </c>
      <c r="Q17" s="78">
        <v>0</v>
      </c>
      <c r="R17" s="78">
        <v>0</v>
      </c>
      <c r="S17" s="77">
        <f t="shared" ref="S17" si="41">I17*M17*(1-O17)*(1-P17)*(1-Q17)</f>
        <v>0</v>
      </c>
      <c r="T17" s="79"/>
      <c r="U17" s="14">
        <f t="shared" si="0"/>
        <v>0</v>
      </c>
      <c r="V17" s="14">
        <f t="shared" si="1"/>
        <v>0</v>
      </c>
      <c r="W17" s="14">
        <f t="shared" si="2"/>
        <v>0</v>
      </c>
      <c r="X17" s="14">
        <f t="shared" si="3"/>
        <v>0</v>
      </c>
      <c r="Y17" s="14">
        <f t="shared" si="4"/>
        <v>0</v>
      </c>
      <c r="Z17" s="14">
        <f t="shared" si="5"/>
        <v>0</v>
      </c>
      <c r="AA17" s="80"/>
      <c r="AB17" s="14">
        <f t="shared" ref="AB17:AB26" si="42">IF(J17&gt;=0,S17,0)</f>
        <v>0</v>
      </c>
      <c r="AC17" s="14">
        <f t="shared" si="6"/>
        <v>0</v>
      </c>
      <c r="AD17" s="14">
        <f t="shared" si="7"/>
        <v>0</v>
      </c>
      <c r="AE17" s="14">
        <f t="shared" si="8"/>
        <v>0</v>
      </c>
      <c r="AF17" s="14">
        <f>IF(J17&gt;3,AE17,0)*(1-R17)</f>
        <v>0</v>
      </c>
      <c r="AG17" s="14">
        <f t="shared" ref="AG17:AG26" si="43">IF(J17&gt;4,AF17,0)*(1-R17)</f>
        <v>0</v>
      </c>
      <c r="AH17" s="81"/>
      <c r="AI17" s="81"/>
      <c r="AJ17" s="81"/>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row>
    <row r="18" spans="1:75" s="83" customFormat="1" ht="25.5" x14ac:dyDescent="0.2">
      <c r="A18" s="142"/>
      <c r="B18" s="142"/>
      <c r="C18" s="142"/>
      <c r="D18" s="180"/>
      <c r="E18" s="142"/>
      <c r="F18" s="182" t="s">
        <v>119</v>
      </c>
      <c r="G18" s="89" t="s">
        <v>87</v>
      </c>
      <c r="H18" s="75" t="s">
        <v>88</v>
      </c>
      <c r="I18" s="75">
        <v>3</v>
      </c>
      <c r="J18" s="75">
        <v>1</v>
      </c>
      <c r="K18" s="86">
        <v>2</v>
      </c>
      <c r="L18" s="75" t="s">
        <v>96</v>
      </c>
      <c r="M18" s="77">
        <f>1304000-973000</f>
        <v>331000</v>
      </c>
      <c r="N18" s="75" t="s">
        <v>89</v>
      </c>
      <c r="O18" s="78">
        <v>1</v>
      </c>
      <c r="P18" s="78">
        <v>0</v>
      </c>
      <c r="Q18" s="78">
        <v>0</v>
      </c>
      <c r="R18" s="78">
        <v>0</v>
      </c>
      <c r="S18" s="77">
        <f t="shared" si="40"/>
        <v>0</v>
      </c>
      <c r="T18" s="79"/>
      <c r="U18" s="14">
        <f t="shared" ref="U18:U22" si="44">IF(K18=1,AB18,0)</f>
        <v>0</v>
      </c>
      <c r="V18" s="14">
        <f t="shared" ref="V18:V22" si="45">IF(K18=1,AC18, AB18)</f>
        <v>0</v>
      </c>
      <c r="W18" s="14">
        <f t="shared" ref="W18:W22" si="46">AD18</f>
        <v>0</v>
      </c>
      <c r="X18" s="14">
        <f t="shared" ref="X18:X22" si="47">AE18</f>
        <v>0</v>
      </c>
      <c r="Y18" s="14">
        <f t="shared" ref="Y18:Y22" si="48">AF18</f>
        <v>0</v>
      </c>
      <c r="Z18" s="14">
        <f t="shared" ref="Z18:Z22" si="49">AG18</f>
        <v>0</v>
      </c>
      <c r="AA18" s="80"/>
      <c r="AB18" s="14">
        <f t="shared" ref="AB18:AB22" si="50">IF(J18&gt;=0,S18,0)</f>
        <v>0</v>
      </c>
      <c r="AC18" s="14">
        <f t="shared" ref="AC18:AC22" si="51">IF(J18&gt;=1,S18,0)</f>
        <v>0</v>
      </c>
      <c r="AD18" s="14">
        <f t="shared" ref="AD18:AD22" si="52">IF(J18&gt;1,AC18,0)*(1-R18)</f>
        <v>0</v>
      </c>
      <c r="AE18" s="14">
        <f t="shared" ref="AE18:AE22" si="53">IF(J18&gt;2,AD18,0)*(1-R18)</f>
        <v>0</v>
      </c>
      <c r="AF18" s="14">
        <f t="shared" ref="AF18:AF22" si="54">IF(J18&gt;3,AE18,0)*(1-R18)</f>
        <v>0</v>
      </c>
      <c r="AG18" s="14">
        <f t="shared" ref="AG18:AG22" si="55">IF(J18&gt;4,AF18,0)*(1-R18)</f>
        <v>0</v>
      </c>
      <c r="AH18" s="81"/>
      <c r="AI18" s="81"/>
      <c r="AJ18" s="81"/>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row>
    <row r="19" spans="1:75" s="83" customFormat="1" ht="38.25" x14ac:dyDescent="0.2">
      <c r="A19" s="142"/>
      <c r="B19" s="142"/>
      <c r="C19" s="142"/>
      <c r="D19" s="180"/>
      <c r="E19" s="142"/>
      <c r="F19" s="182"/>
      <c r="G19" s="89" t="s">
        <v>90</v>
      </c>
      <c r="H19" s="75" t="s">
        <v>88</v>
      </c>
      <c r="I19" s="75">
        <v>0</v>
      </c>
      <c r="J19" s="75">
        <v>1</v>
      </c>
      <c r="K19" s="86">
        <v>2</v>
      </c>
      <c r="L19" s="75" t="s">
        <v>97</v>
      </c>
      <c r="M19" s="77">
        <f>1727000-1304000-9400</f>
        <v>413600</v>
      </c>
      <c r="N19" s="75" t="s">
        <v>89</v>
      </c>
      <c r="O19" s="78">
        <v>0</v>
      </c>
      <c r="P19" s="78">
        <v>0</v>
      </c>
      <c r="Q19" s="87">
        <v>0.5</v>
      </c>
      <c r="R19" s="78">
        <v>0</v>
      </c>
      <c r="S19" s="77">
        <f t="shared" si="40"/>
        <v>0</v>
      </c>
      <c r="T19" s="79"/>
      <c r="U19" s="14">
        <f t="shared" si="44"/>
        <v>0</v>
      </c>
      <c r="V19" s="14">
        <f t="shared" si="45"/>
        <v>0</v>
      </c>
      <c r="W19" s="14">
        <f t="shared" si="46"/>
        <v>0</v>
      </c>
      <c r="X19" s="14">
        <f t="shared" si="47"/>
        <v>0</v>
      </c>
      <c r="Y19" s="14">
        <f t="shared" si="48"/>
        <v>0</v>
      </c>
      <c r="Z19" s="14">
        <f t="shared" si="49"/>
        <v>0</v>
      </c>
      <c r="AA19" s="80"/>
      <c r="AB19" s="14">
        <f t="shared" si="50"/>
        <v>0</v>
      </c>
      <c r="AC19" s="14">
        <f t="shared" si="51"/>
        <v>0</v>
      </c>
      <c r="AD19" s="14">
        <f t="shared" si="52"/>
        <v>0</v>
      </c>
      <c r="AE19" s="14">
        <f t="shared" si="53"/>
        <v>0</v>
      </c>
      <c r="AF19" s="14">
        <f t="shared" si="54"/>
        <v>0</v>
      </c>
      <c r="AG19" s="14">
        <f t="shared" si="55"/>
        <v>0</v>
      </c>
      <c r="AH19" s="81"/>
      <c r="AI19" s="81"/>
      <c r="AJ19" s="81"/>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row>
    <row r="20" spans="1:75" s="83" customFormat="1" ht="34.5" customHeight="1" x14ac:dyDescent="0.2">
      <c r="A20" s="142"/>
      <c r="B20" s="142"/>
      <c r="C20" s="142"/>
      <c r="D20" s="180"/>
      <c r="E20" s="142"/>
      <c r="F20" s="182"/>
      <c r="G20" s="89" t="s">
        <v>91</v>
      </c>
      <c r="H20" s="75" t="s">
        <v>88</v>
      </c>
      <c r="I20" s="75">
        <v>6</v>
      </c>
      <c r="J20" s="75">
        <v>1</v>
      </c>
      <c r="K20" s="86">
        <v>2</v>
      </c>
      <c r="L20" s="75" t="s">
        <v>98</v>
      </c>
      <c r="M20" s="77">
        <f>2268000-1727000-43200</f>
        <v>497800</v>
      </c>
      <c r="N20" s="75" t="s">
        <v>89</v>
      </c>
      <c r="O20" s="78">
        <v>1</v>
      </c>
      <c r="P20" s="78">
        <v>0</v>
      </c>
      <c r="Q20" s="87">
        <v>0</v>
      </c>
      <c r="R20" s="78">
        <v>0</v>
      </c>
      <c r="S20" s="77">
        <f t="shared" si="40"/>
        <v>0</v>
      </c>
      <c r="T20" s="79"/>
      <c r="U20" s="14">
        <f t="shared" si="44"/>
        <v>0</v>
      </c>
      <c r="V20" s="14">
        <f t="shared" si="45"/>
        <v>0</v>
      </c>
      <c r="W20" s="14">
        <f t="shared" si="46"/>
        <v>0</v>
      </c>
      <c r="X20" s="14">
        <f t="shared" si="47"/>
        <v>0</v>
      </c>
      <c r="Y20" s="14">
        <f t="shared" si="48"/>
        <v>0</v>
      </c>
      <c r="Z20" s="14">
        <f t="shared" si="49"/>
        <v>0</v>
      </c>
      <c r="AA20" s="80"/>
      <c r="AB20" s="14">
        <f t="shared" si="50"/>
        <v>0</v>
      </c>
      <c r="AC20" s="14">
        <f t="shared" si="51"/>
        <v>0</v>
      </c>
      <c r="AD20" s="14">
        <f t="shared" si="52"/>
        <v>0</v>
      </c>
      <c r="AE20" s="14">
        <f t="shared" si="53"/>
        <v>0</v>
      </c>
      <c r="AF20" s="14">
        <f t="shared" si="54"/>
        <v>0</v>
      </c>
      <c r="AG20" s="14">
        <f t="shared" si="55"/>
        <v>0</v>
      </c>
      <c r="AH20" s="81"/>
      <c r="AI20" s="81"/>
      <c r="AJ20" s="81"/>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row>
    <row r="21" spans="1:75" s="83" customFormat="1" ht="33.75" customHeight="1" thickBot="1" x14ac:dyDescent="0.25">
      <c r="A21" s="142"/>
      <c r="B21" s="142"/>
      <c r="C21" s="142"/>
      <c r="D21" s="180"/>
      <c r="E21" s="142"/>
      <c r="F21" s="182"/>
      <c r="G21" s="89" t="s">
        <v>92</v>
      </c>
      <c r="H21" s="75" t="s">
        <v>88</v>
      </c>
      <c r="I21" s="75">
        <v>12</v>
      </c>
      <c r="J21" s="75">
        <v>1</v>
      </c>
      <c r="K21" s="86">
        <v>2</v>
      </c>
      <c r="L21" s="75" t="s">
        <v>99</v>
      </c>
      <c r="M21" s="77">
        <f>2671000-2268000-31200</f>
        <v>371800</v>
      </c>
      <c r="N21" s="75" t="s">
        <v>89</v>
      </c>
      <c r="O21" s="78">
        <v>0.8</v>
      </c>
      <c r="P21" s="78">
        <v>0.1</v>
      </c>
      <c r="Q21" s="87">
        <v>0.5</v>
      </c>
      <c r="R21" s="78">
        <v>0</v>
      </c>
      <c r="S21" s="77">
        <f t="shared" si="40"/>
        <v>401543.99999999988</v>
      </c>
      <c r="T21" s="79"/>
      <c r="U21" s="14">
        <f t="shared" si="44"/>
        <v>0</v>
      </c>
      <c r="V21" s="14">
        <f t="shared" si="45"/>
        <v>401543.99999999988</v>
      </c>
      <c r="W21" s="14">
        <f t="shared" si="46"/>
        <v>0</v>
      </c>
      <c r="X21" s="14">
        <f t="shared" si="47"/>
        <v>0</v>
      </c>
      <c r="Y21" s="14">
        <f t="shared" si="48"/>
        <v>0</v>
      </c>
      <c r="Z21" s="14">
        <f t="shared" si="49"/>
        <v>0</v>
      </c>
      <c r="AA21" s="80"/>
      <c r="AB21" s="14">
        <f t="shared" si="50"/>
        <v>401543.99999999988</v>
      </c>
      <c r="AC21" s="14">
        <f t="shared" si="51"/>
        <v>401543.99999999988</v>
      </c>
      <c r="AD21" s="14">
        <f t="shared" si="52"/>
        <v>0</v>
      </c>
      <c r="AE21" s="14">
        <f t="shared" si="53"/>
        <v>0</v>
      </c>
      <c r="AF21" s="14">
        <f t="shared" si="54"/>
        <v>0</v>
      </c>
      <c r="AG21" s="14">
        <f t="shared" si="55"/>
        <v>0</v>
      </c>
      <c r="AH21" s="81"/>
      <c r="AI21" s="81"/>
      <c r="AJ21" s="81"/>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row>
    <row r="22" spans="1:75" s="83" customFormat="1" ht="33.75" customHeight="1" thickBot="1" x14ac:dyDescent="0.25">
      <c r="A22" s="143"/>
      <c r="B22" s="143"/>
      <c r="C22" s="143"/>
      <c r="D22" s="181"/>
      <c r="E22" s="143"/>
      <c r="F22" s="182"/>
      <c r="G22" s="89" t="s">
        <v>93</v>
      </c>
      <c r="H22" s="75" t="s">
        <v>88</v>
      </c>
      <c r="I22" s="75">
        <v>7</v>
      </c>
      <c r="J22" s="75">
        <v>1</v>
      </c>
      <c r="K22" s="86">
        <v>2</v>
      </c>
      <c r="L22" s="75" t="s">
        <v>100</v>
      </c>
      <c r="M22" s="90">
        <f>1380000-125600</f>
        <v>1254400</v>
      </c>
      <c r="N22" s="75" t="s">
        <v>89</v>
      </c>
      <c r="O22" s="78">
        <v>0.68</v>
      </c>
      <c r="P22" s="78">
        <v>0.1</v>
      </c>
      <c r="Q22" s="87">
        <v>0.5</v>
      </c>
      <c r="R22" s="78">
        <v>0</v>
      </c>
      <c r="S22" s="77">
        <f t="shared" si="40"/>
        <v>1264435.1999999997</v>
      </c>
      <c r="T22" s="79"/>
      <c r="U22" s="14">
        <f t="shared" si="44"/>
        <v>0</v>
      </c>
      <c r="V22" s="14">
        <f t="shared" si="45"/>
        <v>1264435.1999999997</v>
      </c>
      <c r="W22" s="14">
        <f t="shared" si="46"/>
        <v>0</v>
      </c>
      <c r="X22" s="14">
        <f t="shared" si="47"/>
        <v>0</v>
      </c>
      <c r="Y22" s="14">
        <f t="shared" si="48"/>
        <v>0</v>
      </c>
      <c r="Z22" s="14">
        <f t="shared" si="49"/>
        <v>0</v>
      </c>
      <c r="AA22" s="80"/>
      <c r="AB22" s="14">
        <f t="shared" si="50"/>
        <v>1264435.1999999997</v>
      </c>
      <c r="AC22" s="14">
        <f t="shared" si="51"/>
        <v>1264435.1999999997</v>
      </c>
      <c r="AD22" s="14">
        <f t="shared" si="52"/>
        <v>0</v>
      </c>
      <c r="AE22" s="14">
        <f t="shared" si="53"/>
        <v>0</v>
      </c>
      <c r="AF22" s="14">
        <f t="shared" si="54"/>
        <v>0</v>
      </c>
      <c r="AG22" s="14">
        <f t="shared" si="55"/>
        <v>0</v>
      </c>
      <c r="AH22" s="81"/>
      <c r="AI22" s="81"/>
      <c r="AJ22" s="81"/>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row>
    <row r="23" spans="1:75" s="83" customFormat="1" ht="51" x14ac:dyDescent="0.2">
      <c r="A23" s="141" t="s">
        <v>53</v>
      </c>
      <c r="B23" s="141" t="s">
        <v>64</v>
      </c>
      <c r="C23" s="141" t="s">
        <v>65</v>
      </c>
      <c r="D23" s="177"/>
      <c r="E23" s="141" t="s">
        <v>68</v>
      </c>
      <c r="F23" s="91" t="s">
        <v>105</v>
      </c>
      <c r="G23" s="91" t="s">
        <v>83</v>
      </c>
      <c r="H23" s="91" t="s">
        <v>57</v>
      </c>
      <c r="I23" s="92"/>
      <c r="J23" s="93"/>
      <c r="K23" s="93"/>
      <c r="L23" s="93"/>
      <c r="M23" s="94"/>
      <c r="N23" s="93"/>
      <c r="O23" s="78">
        <v>0</v>
      </c>
      <c r="P23" s="78">
        <v>0</v>
      </c>
      <c r="Q23" s="78">
        <v>0</v>
      </c>
      <c r="R23" s="78">
        <v>0</v>
      </c>
      <c r="S23" s="77">
        <f t="shared" ref="S23" si="56">I23*M23*(1-O23)*(1-P23)*(1-Q23)</f>
        <v>0</v>
      </c>
      <c r="T23" s="79"/>
      <c r="U23" s="14">
        <f t="shared" si="0"/>
        <v>0</v>
      </c>
      <c r="V23" s="14">
        <f t="shared" si="1"/>
        <v>0</v>
      </c>
      <c r="W23" s="14">
        <f t="shared" si="2"/>
        <v>0</v>
      </c>
      <c r="X23" s="14">
        <f t="shared" si="3"/>
        <v>0</v>
      </c>
      <c r="Y23" s="14">
        <f t="shared" si="4"/>
        <v>0</v>
      </c>
      <c r="Z23" s="14">
        <f t="shared" si="5"/>
        <v>0</v>
      </c>
      <c r="AA23" s="80"/>
      <c r="AB23" s="14">
        <f t="shared" si="42"/>
        <v>0</v>
      </c>
      <c r="AC23" s="14">
        <f t="shared" si="6"/>
        <v>0</v>
      </c>
      <c r="AD23" s="14">
        <f t="shared" si="7"/>
        <v>0</v>
      </c>
      <c r="AE23" s="14">
        <f t="shared" si="8"/>
        <v>0</v>
      </c>
      <c r="AF23" s="14">
        <f>IF(J23&gt;3,AD23,0)*(1-R23)</f>
        <v>0</v>
      </c>
      <c r="AG23" s="14">
        <f t="shared" si="43"/>
        <v>0</v>
      </c>
      <c r="AH23" s="81"/>
      <c r="AI23" s="81"/>
      <c r="AJ23" s="81"/>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row>
    <row r="24" spans="1:75" s="83" customFormat="1" ht="38.25" x14ac:dyDescent="0.2">
      <c r="A24" s="143"/>
      <c r="B24" s="143"/>
      <c r="C24" s="143"/>
      <c r="D24" s="178"/>
      <c r="E24" s="143"/>
      <c r="F24" s="75" t="s">
        <v>112</v>
      </c>
      <c r="G24" s="75" t="s">
        <v>116</v>
      </c>
      <c r="H24" s="75" t="s">
        <v>57</v>
      </c>
      <c r="I24" s="95">
        <v>8</v>
      </c>
      <c r="J24" s="95">
        <v>1</v>
      </c>
      <c r="K24" s="88">
        <v>2</v>
      </c>
      <c r="L24" s="88" t="s">
        <v>102</v>
      </c>
      <c r="M24" s="96">
        <v>395</v>
      </c>
      <c r="N24" s="97" t="s">
        <v>84</v>
      </c>
      <c r="O24" s="78">
        <v>0</v>
      </c>
      <c r="P24" s="78">
        <v>0</v>
      </c>
      <c r="Q24" s="78">
        <v>0</v>
      </c>
      <c r="R24" s="78">
        <v>0</v>
      </c>
      <c r="S24" s="77">
        <f t="shared" ref="S24:S25" si="57">I24*M24*(1-O24)*(1-P24)*(1-Q24)</f>
        <v>3160</v>
      </c>
      <c r="T24" s="79"/>
      <c r="U24" s="14">
        <f t="shared" ref="U24:U25" si="58">IF(K24=1,AB24,0)</f>
        <v>0</v>
      </c>
      <c r="V24" s="14">
        <f t="shared" ref="V24:V25" si="59">IF(K24=1,AC24, AB24)</f>
        <v>3160</v>
      </c>
      <c r="W24" s="14">
        <f t="shared" ref="W24:W25" si="60">AD24</f>
        <v>0</v>
      </c>
      <c r="X24" s="14">
        <f t="shared" ref="X24:X25" si="61">AE24</f>
        <v>0</v>
      </c>
      <c r="Y24" s="14">
        <f t="shared" ref="Y24:Y25" si="62">AF24</f>
        <v>0</v>
      </c>
      <c r="Z24" s="14">
        <f t="shared" ref="Z24:Z25" si="63">AG24</f>
        <v>0</v>
      </c>
      <c r="AA24" s="80"/>
      <c r="AB24" s="14">
        <f t="shared" ref="AB24:AB25" si="64">IF(J24&gt;=0,S24,0)</f>
        <v>3160</v>
      </c>
      <c r="AC24" s="14">
        <f t="shared" ref="AC24:AC25" si="65">IF(J24&gt;=1,S24,0)</f>
        <v>3160</v>
      </c>
      <c r="AD24" s="14">
        <f t="shared" ref="AD24:AD25" si="66">IF(J24&gt;1,AC24,0)*(1-R24)</f>
        <v>0</v>
      </c>
      <c r="AE24" s="14">
        <f t="shared" ref="AE24:AE25" si="67">IF(J24&gt;2,AD24,0)*(1-R24)</f>
        <v>0</v>
      </c>
      <c r="AF24" s="14">
        <f>IF(J24&gt;3,AD24,0)*(1-R24)</f>
        <v>0</v>
      </c>
      <c r="AG24" s="14">
        <f t="shared" ref="AG24:AG25" si="68">IF(J24&gt;4,AF24,0)*(1-R24)</f>
        <v>0</v>
      </c>
      <c r="AH24" s="81"/>
      <c r="AI24" s="81"/>
      <c r="AJ24" s="81"/>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row>
    <row r="25" spans="1:75" s="82" customFormat="1" ht="38.25" customHeight="1" x14ac:dyDescent="0.2">
      <c r="A25" s="183" t="s">
        <v>66</v>
      </c>
      <c r="B25" s="183" t="s">
        <v>67</v>
      </c>
      <c r="C25" s="183" t="s">
        <v>65</v>
      </c>
      <c r="D25" s="185"/>
      <c r="E25" s="183" t="s">
        <v>86</v>
      </c>
      <c r="F25" s="187" t="s">
        <v>106</v>
      </c>
      <c r="G25" s="153" t="s">
        <v>101</v>
      </c>
      <c r="H25" s="141" t="s">
        <v>57</v>
      </c>
      <c r="I25" s="189"/>
      <c r="J25" s="189"/>
      <c r="K25" s="189"/>
      <c r="L25" s="189"/>
      <c r="M25" s="193"/>
      <c r="N25" s="189"/>
      <c r="O25" s="132">
        <v>0</v>
      </c>
      <c r="P25" s="132">
        <v>0</v>
      </c>
      <c r="Q25" s="132">
        <v>0</v>
      </c>
      <c r="R25" s="132">
        <v>0</v>
      </c>
      <c r="S25" s="191">
        <f t="shared" si="57"/>
        <v>0</v>
      </c>
      <c r="T25" s="79"/>
      <c r="U25" s="15">
        <f t="shared" si="58"/>
        <v>0</v>
      </c>
      <c r="V25" s="15">
        <f t="shared" si="59"/>
        <v>0</v>
      </c>
      <c r="W25" s="15">
        <f t="shared" si="60"/>
        <v>0</v>
      </c>
      <c r="X25" s="15">
        <f t="shared" si="61"/>
        <v>0</v>
      </c>
      <c r="Y25" s="15">
        <f t="shared" si="62"/>
        <v>0</v>
      </c>
      <c r="Z25" s="15">
        <f t="shared" si="63"/>
        <v>0</v>
      </c>
      <c r="AA25" s="80"/>
      <c r="AB25" s="15">
        <f t="shared" si="64"/>
        <v>0</v>
      </c>
      <c r="AC25" s="15">
        <f t="shared" si="65"/>
        <v>0</v>
      </c>
      <c r="AD25" s="15">
        <f t="shared" si="66"/>
        <v>0</v>
      </c>
      <c r="AE25" s="15">
        <f t="shared" si="67"/>
        <v>0</v>
      </c>
      <c r="AF25" s="15">
        <f>IF(J25&gt;3,AD25,0)*(1-R25)</f>
        <v>0</v>
      </c>
      <c r="AG25" s="15">
        <f t="shared" si="68"/>
        <v>0</v>
      </c>
    </row>
    <row r="26" spans="1:75" s="82" customFormat="1" x14ac:dyDescent="0.2">
      <c r="A26" s="184"/>
      <c r="B26" s="184"/>
      <c r="C26" s="184"/>
      <c r="D26" s="186"/>
      <c r="E26" s="184"/>
      <c r="F26" s="188"/>
      <c r="G26" s="155"/>
      <c r="H26" s="143"/>
      <c r="I26" s="190"/>
      <c r="J26" s="190"/>
      <c r="K26" s="190"/>
      <c r="L26" s="190"/>
      <c r="M26" s="194"/>
      <c r="N26" s="190"/>
      <c r="O26" s="134"/>
      <c r="P26" s="134"/>
      <c r="Q26" s="134"/>
      <c r="R26" s="134"/>
      <c r="S26" s="192"/>
      <c r="T26" s="79"/>
      <c r="U26" s="15">
        <f t="shared" si="0"/>
        <v>0</v>
      </c>
      <c r="V26" s="15">
        <f t="shared" si="1"/>
        <v>0</v>
      </c>
      <c r="W26" s="15">
        <f t="shared" si="2"/>
        <v>0</v>
      </c>
      <c r="X26" s="15">
        <f t="shared" si="3"/>
        <v>0</v>
      </c>
      <c r="Y26" s="15">
        <f t="shared" si="4"/>
        <v>0</v>
      </c>
      <c r="Z26" s="15">
        <f t="shared" si="5"/>
        <v>0</v>
      </c>
      <c r="AA26" s="80"/>
      <c r="AB26" s="15">
        <f t="shared" si="42"/>
        <v>0</v>
      </c>
      <c r="AC26" s="15">
        <f t="shared" si="6"/>
        <v>0</v>
      </c>
      <c r="AD26" s="15">
        <f t="shared" si="7"/>
        <v>0</v>
      </c>
      <c r="AE26" s="15">
        <f t="shared" si="8"/>
        <v>0</v>
      </c>
      <c r="AF26" s="15">
        <f>IF(J26&gt;3,AD26,0)*(1-R26)</f>
        <v>0</v>
      </c>
      <c r="AG26" s="15">
        <f t="shared" si="43"/>
        <v>0</v>
      </c>
    </row>
    <row r="27" spans="1:75" ht="13.5" thickBot="1" x14ac:dyDescent="0.25">
      <c r="D27" s="99"/>
      <c r="O27" s="101"/>
      <c r="P27" s="101"/>
      <c r="Q27" s="101"/>
      <c r="R27" s="101"/>
      <c r="S27" s="7"/>
      <c r="T27" s="102"/>
      <c r="U27" s="16"/>
      <c r="V27" s="16"/>
      <c r="W27" s="16"/>
      <c r="X27" s="16"/>
      <c r="Y27" s="16"/>
      <c r="Z27" s="16"/>
      <c r="AA27" s="103"/>
      <c r="AB27" s="7"/>
      <c r="AC27" s="7"/>
      <c r="AD27" s="7"/>
      <c r="AE27" s="7"/>
      <c r="AF27" s="7"/>
      <c r="AG27" s="7"/>
    </row>
    <row r="28" spans="1:75" ht="16.5" thickBot="1" x14ac:dyDescent="0.3">
      <c r="A28" s="104" t="s">
        <v>8</v>
      </c>
      <c r="B28" s="105"/>
      <c r="C28" s="105"/>
      <c r="D28" s="106">
        <f>SUM(D8:D27)</f>
        <v>1104745</v>
      </c>
      <c r="E28" s="105"/>
      <c r="F28" s="105"/>
      <c r="G28" s="105"/>
      <c r="H28" s="105"/>
      <c r="I28" s="105"/>
      <c r="J28" s="105"/>
      <c r="K28" s="105"/>
      <c r="L28" s="105"/>
      <c r="M28" s="3"/>
      <c r="N28" s="105"/>
      <c r="O28" s="107"/>
      <c r="P28" s="107"/>
      <c r="Q28" s="107"/>
      <c r="R28" s="104" t="s">
        <v>8</v>
      </c>
      <c r="S28" s="108">
        <f>SUM(S8:S26)</f>
        <v>1684687.1999999997</v>
      </c>
      <c r="T28" s="102"/>
      <c r="U28" s="17">
        <f t="shared" ref="U28:Z28" si="69">SUM(U8:U26)</f>
        <v>0</v>
      </c>
      <c r="V28" s="17">
        <f t="shared" si="69"/>
        <v>1684687.1999999997</v>
      </c>
      <c r="W28" s="17">
        <f t="shared" si="69"/>
        <v>0</v>
      </c>
      <c r="X28" s="17">
        <f t="shared" si="69"/>
        <v>0</v>
      </c>
      <c r="Y28" s="17">
        <f t="shared" si="69"/>
        <v>0</v>
      </c>
      <c r="Z28" s="17">
        <f t="shared" si="69"/>
        <v>0</v>
      </c>
      <c r="AA28" s="103"/>
      <c r="AB28" s="12"/>
      <c r="AC28" s="12"/>
      <c r="AD28" s="12"/>
      <c r="AE28" s="12"/>
      <c r="AF28" s="12"/>
      <c r="AG28" s="12"/>
    </row>
    <row r="29" spans="1:75" x14ac:dyDescent="0.2">
      <c r="O29" s="109"/>
      <c r="T29" s="110"/>
      <c r="U29" s="16"/>
      <c r="V29" s="16"/>
      <c r="W29" s="16"/>
      <c r="X29" s="16"/>
      <c r="Y29" s="16"/>
      <c r="Z29" s="16"/>
      <c r="AB29" s="2"/>
      <c r="AC29" s="2"/>
      <c r="AD29" s="2"/>
      <c r="AE29" s="2"/>
      <c r="AF29" s="2"/>
      <c r="AG29" s="3"/>
    </row>
    <row r="30" spans="1:75" ht="20.100000000000001" customHeight="1" x14ac:dyDescent="0.2">
      <c r="R30" s="111" t="s">
        <v>9</v>
      </c>
      <c r="S30" s="112"/>
      <c r="T30" s="113"/>
      <c r="U30" s="17">
        <f>+U28</f>
        <v>0</v>
      </c>
      <c r="V30" s="17">
        <f>+V28/(1+W6)</f>
        <v>1643597.2682926827</v>
      </c>
      <c r="W30" s="17">
        <f>+W28/((1+W6)*(1+W6))</f>
        <v>0</v>
      </c>
      <c r="X30" s="17">
        <f>+X28/((1+W6)*(1+W6)*(1+W6))</f>
        <v>0</v>
      </c>
      <c r="Y30" s="17">
        <f>+Y28/((1+W6)*(1+W6)*(1+W6)*(1+W6))</f>
        <v>0</v>
      </c>
      <c r="Z30" s="17">
        <f>+Z28/((1+W6)*(1+W6)*(1+W6)*(1+W6)*(1+W6))</f>
        <v>0</v>
      </c>
      <c r="AA30" s="114"/>
      <c r="AB30" s="12"/>
      <c r="AC30" s="12"/>
      <c r="AD30" s="12"/>
      <c r="AE30" s="12"/>
      <c r="AF30" s="12"/>
      <c r="AG30" s="12"/>
    </row>
    <row r="31" spans="1:75" ht="20.100000000000001" customHeight="1" x14ac:dyDescent="0.2">
      <c r="R31" s="115" t="s">
        <v>10</v>
      </c>
      <c r="S31" s="116"/>
      <c r="T31" s="117"/>
      <c r="U31" s="118"/>
      <c r="V31" s="9"/>
      <c r="W31" s="9"/>
      <c r="X31" s="9"/>
      <c r="Y31" s="10"/>
      <c r="Z31" s="8">
        <f>SUM(U30:Z30)</f>
        <v>1643597.2682926827</v>
      </c>
      <c r="AB31" s="12"/>
      <c r="AC31" s="12"/>
      <c r="AD31" s="12"/>
      <c r="AE31" s="12"/>
      <c r="AF31" s="12"/>
      <c r="AG31" s="12"/>
    </row>
    <row r="32" spans="1:75" ht="20.100000000000001" customHeight="1" x14ac:dyDescent="0.2">
      <c r="R32" s="5" t="s">
        <v>39</v>
      </c>
      <c r="S32" s="119"/>
      <c r="T32" s="29"/>
      <c r="U32" s="120"/>
      <c r="V32" s="12"/>
      <c r="W32" s="12"/>
      <c r="X32" s="12"/>
      <c r="Y32" s="12"/>
      <c r="Z32" s="4">
        <f>+Z31-D28</f>
        <v>538852.26829268271</v>
      </c>
      <c r="AB32" s="12"/>
      <c r="AC32" s="12"/>
      <c r="AD32" s="12"/>
      <c r="AE32" s="12"/>
      <c r="AF32" s="12"/>
      <c r="AG32" s="13"/>
    </row>
    <row r="33" spans="6:33" ht="20.100000000000001" customHeight="1" x14ac:dyDescent="0.2">
      <c r="F33" s="98" t="s">
        <v>51</v>
      </c>
      <c r="R33" s="6" t="s">
        <v>40</v>
      </c>
      <c r="S33" s="116"/>
      <c r="T33" s="29"/>
      <c r="U33" s="121"/>
      <c r="V33" s="9"/>
      <c r="W33" s="9"/>
      <c r="X33" s="9"/>
      <c r="Y33" s="10"/>
      <c r="Z33" s="11"/>
      <c r="AB33" s="12"/>
      <c r="AC33" s="12"/>
      <c r="AD33" s="12"/>
      <c r="AE33" s="12"/>
      <c r="AF33" s="12"/>
      <c r="AG33" s="13"/>
    </row>
    <row r="34" spans="6:33" ht="20.100000000000001" customHeight="1" x14ac:dyDescent="0.2">
      <c r="R34" s="5" t="s">
        <v>41</v>
      </c>
      <c r="S34" s="119"/>
      <c r="T34" s="29"/>
      <c r="U34" s="122"/>
      <c r="V34" s="105"/>
      <c r="W34" s="105"/>
      <c r="X34" s="105"/>
      <c r="Y34" s="105"/>
      <c r="Z34" s="4">
        <f>+Z31/D28</f>
        <v>1.4877616719629261</v>
      </c>
      <c r="AB34" s="105"/>
      <c r="AC34" s="105"/>
      <c r="AD34" s="105"/>
      <c r="AE34" s="105"/>
      <c r="AF34" s="105"/>
      <c r="AG34" s="13"/>
    </row>
    <row r="35" spans="6:33" ht="20.100000000000001" customHeight="1" x14ac:dyDescent="0.2">
      <c r="R35" s="123" t="s">
        <v>50</v>
      </c>
      <c r="S35" s="116"/>
      <c r="T35" s="124"/>
      <c r="U35" s="125"/>
      <c r="V35" s="126"/>
      <c r="W35" s="126"/>
      <c r="X35" s="126"/>
      <c r="Y35" s="126"/>
      <c r="Z35" s="127"/>
      <c r="AA35" s="122"/>
      <c r="AB35" s="105"/>
      <c r="AC35" s="105"/>
      <c r="AD35" s="105"/>
      <c r="AE35" s="105"/>
      <c r="AF35" s="105"/>
      <c r="AG35" s="105"/>
    </row>
    <row r="36" spans="6:33" x14ac:dyDescent="0.2">
      <c r="T36" s="128"/>
    </row>
    <row r="37" spans="6:33" x14ac:dyDescent="0.2">
      <c r="AB37" s="105"/>
      <c r="AC37" s="105"/>
      <c r="AD37" s="105"/>
      <c r="AE37" s="105"/>
      <c r="AF37" s="105"/>
      <c r="AG37" s="3"/>
    </row>
    <row r="38" spans="6:33" x14ac:dyDescent="0.2">
      <c r="AB38" s="105"/>
      <c r="AC38" s="1"/>
      <c r="AD38" s="1"/>
      <c r="AE38" s="1"/>
      <c r="AF38" s="1"/>
      <c r="AG38" s="3"/>
    </row>
    <row r="39" spans="6:33" x14ac:dyDescent="0.2">
      <c r="AB39" s="105"/>
      <c r="AC39" s="1"/>
      <c r="AD39" s="1"/>
      <c r="AE39" s="1"/>
      <c r="AF39" s="1"/>
      <c r="AG39" s="3"/>
    </row>
    <row r="40" spans="6:33" x14ac:dyDescent="0.2">
      <c r="AB40" s="105"/>
      <c r="AC40" s="1"/>
      <c r="AD40" s="1"/>
      <c r="AE40" s="1"/>
      <c r="AF40" s="1"/>
      <c r="AG40" s="3"/>
    </row>
    <row r="41" spans="6:33" x14ac:dyDescent="0.2">
      <c r="AB41" s="2"/>
      <c r="AC41" s="2"/>
      <c r="AD41" s="2"/>
      <c r="AE41" s="2"/>
      <c r="AF41" s="2"/>
      <c r="AG41" s="3"/>
    </row>
  </sheetData>
  <sheetProtection password="CAB5" sheet="1" objects="1" scenarios="1"/>
  <mergeCells count="84">
    <mergeCell ref="P25:P26"/>
    <mergeCell ref="Q25:Q26"/>
    <mergeCell ref="R25:R26"/>
    <mergeCell ref="S25:S26"/>
    <mergeCell ref="K25:K26"/>
    <mergeCell ref="L25:L26"/>
    <mergeCell ref="M25:M26"/>
    <mergeCell ref="N25:N26"/>
    <mergeCell ref="O25:O26"/>
    <mergeCell ref="F25:F26"/>
    <mergeCell ref="G25:G26"/>
    <mergeCell ref="H25:H26"/>
    <mergeCell ref="I25:I26"/>
    <mergeCell ref="J25:J26"/>
    <mergeCell ref="E25:E26"/>
    <mergeCell ref="D25:D26"/>
    <mergeCell ref="C25:C26"/>
    <mergeCell ref="B25:B26"/>
    <mergeCell ref="A25:A26"/>
    <mergeCell ref="F18:F22"/>
    <mergeCell ref="E17:E22"/>
    <mergeCell ref="D17:D22"/>
    <mergeCell ref="C17:C22"/>
    <mergeCell ref="B17:B22"/>
    <mergeCell ref="E8:E11"/>
    <mergeCell ref="C8:C11"/>
    <mergeCell ref="B8:B11"/>
    <mergeCell ref="A8:A11"/>
    <mergeCell ref="A23:A24"/>
    <mergeCell ref="B23:B24"/>
    <mergeCell ref="C23:C24"/>
    <mergeCell ref="D23:D24"/>
    <mergeCell ref="E23:E24"/>
    <mergeCell ref="A17:A22"/>
    <mergeCell ref="E13:E15"/>
    <mergeCell ref="D13:D15"/>
    <mergeCell ref="C13:C15"/>
    <mergeCell ref="B13:B15"/>
    <mergeCell ref="A13:A15"/>
    <mergeCell ref="D8:D11"/>
    <mergeCell ref="C5:D5"/>
    <mergeCell ref="A6:A7"/>
    <mergeCell ref="B6:B7"/>
    <mergeCell ref="C6:C7"/>
    <mergeCell ref="D6:D7"/>
    <mergeCell ref="E6:E7"/>
    <mergeCell ref="P6:P7"/>
    <mergeCell ref="O6:O7"/>
    <mergeCell ref="F5:N5"/>
    <mergeCell ref="O4:P4"/>
    <mergeCell ref="Q6:Q7"/>
    <mergeCell ref="U5:Z5"/>
    <mergeCell ref="U6:V6"/>
    <mergeCell ref="Y6:Z6"/>
    <mergeCell ref="AB6:AC6"/>
    <mergeCell ref="S6:S7"/>
    <mergeCell ref="AB5:AG5"/>
    <mergeCell ref="AF6:AG6"/>
    <mergeCell ref="R6:R7"/>
    <mergeCell ref="F9:F11"/>
    <mergeCell ref="G9:G11"/>
    <mergeCell ref="H9:H11"/>
    <mergeCell ref="I9:I11"/>
    <mergeCell ref="J9:J11"/>
    <mergeCell ref="L9:L11"/>
    <mergeCell ref="M9:M11"/>
    <mergeCell ref="N9:N11"/>
    <mergeCell ref="O9:O11"/>
    <mergeCell ref="P9:P11"/>
    <mergeCell ref="Q9:Q11"/>
    <mergeCell ref="R9:R11"/>
    <mergeCell ref="S9:S11"/>
    <mergeCell ref="U9:U11"/>
    <mergeCell ref="V9:V11"/>
    <mergeCell ref="W9:W11"/>
    <mergeCell ref="X9:X11"/>
    <mergeCell ref="Y9:Y11"/>
    <mergeCell ref="Z9:Z11"/>
    <mergeCell ref="AB9:AB11"/>
    <mergeCell ref="AC9:AC11"/>
    <mergeCell ref="AD9:AD11"/>
    <mergeCell ref="AE9:AE11"/>
    <mergeCell ref="AF9:AF11"/>
    <mergeCell ref="AG9:AG11"/>
  </mergeCells>
  <phoneticPr fontId="0" type="noConversion"/>
  <hyperlinks>
    <hyperlink ref="N24" r:id="rId1"/>
  </hyperlinks>
  <pageMargins left="0.75" right="0.75" top="1" bottom="1" header="0.5" footer="0.5"/>
  <pageSetup paperSize="9" orientation="portrait"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impact map</vt:lpstr>
      <vt:lpstr>'impact map'!Print_Titles</vt:lpstr>
    </vt:vector>
  </TitlesOfParts>
  <Company>betamodel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Nicholls</dc:creator>
  <cp:lastModifiedBy>Sam Rauschenberg</cp:lastModifiedBy>
  <cp:lastPrinted>2015-02-11T18:42:26Z</cp:lastPrinted>
  <dcterms:created xsi:type="dcterms:W3CDTF">2008-09-14T13:53:09Z</dcterms:created>
  <dcterms:modified xsi:type="dcterms:W3CDTF">2015-06-05T17:38:59Z</dcterms:modified>
</cp:coreProperties>
</file>