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0970" windowHeight="11415"/>
  </bookViews>
  <sheets>
    <sheet name="impact map" sheetId="1" r:id="rId1"/>
  </sheets>
  <definedNames>
    <definedName name="_xlnm.Print_Area" localSheetId="0">'impact map'!$A$1:$S$25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M12" i="1" l="1"/>
  <c r="M11" i="1"/>
  <c r="M10" i="1"/>
  <c r="M14" i="1" l="1"/>
  <c r="D35" i="1" l="1"/>
  <c r="D36" i="1"/>
  <c r="E36" i="1" l="1"/>
  <c r="D24" i="1" s="1"/>
  <c r="M20" i="1"/>
  <c r="M19" i="1"/>
  <c r="M18" i="1"/>
  <c r="M17" i="1"/>
  <c r="S23" i="1" l="1"/>
  <c r="S24" i="1"/>
  <c r="S25" i="1"/>
  <c r="AF11" i="1" l="1"/>
  <c r="Y11" i="1" s="1"/>
  <c r="AG11" i="1"/>
  <c r="Z11" i="1" s="1"/>
  <c r="U11" i="1"/>
  <c r="S11" i="1"/>
  <c r="AB11" i="1" s="1"/>
  <c r="V11" i="1" s="1"/>
  <c r="AC11" i="1" l="1"/>
  <c r="AD11" i="1" s="1"/>
  <c r="AE11" i="1" s="1"/>
  <c r="X11" i="1" s="1"/>
  <c r="AD9" i="1"/>
  <c r="W9" i="1" s="1"/>
  <c r="AE9" i="1"/>
  <c r="AF9" i="1"/>
  <c r="Y9" i="1" s="1"/>
  <c r="AG9" i="1"/>
  <c r="Z9" i="1" s="1"/>
  <c r="AE10" i="1"/>
  <c r="X10" i="1" s="1"/>
  <c r="AF10" i="1"/>
  <c r="Y10" i="1" s="1"/>
  <c r="AG10" i="1"/>
  <c r="Z10" i="1" s="1"/>
  <c r="AC13" i="1"/>
  <c r="AD13" i="1"/>
  <c r="W13" i="1" s="1"/>
  <c r="AE13" i="1"/>
  <c r="AF13" i="1"/>
  <c r="Y13" i="1" s="1"/>
  <c r="AG13" i="1"/>
  <c r="Z13" i="1" s="1"/>
  <c r="AD14" i="1"/>
  <c r="W14" i="1" s="1"/>
  <c r="AE14" i="1"/>
  <c r="X14" i="1" s="1"/>
  <c r="AF14" i="1"/>
  <c r="Y14" i="1" s="1"/>
  <c r="AG14" i="1"/>
  <c r="Z14" i="1" s="1"/>
  <c r="AC15" i="1"/>
  <c r="AD15" i="1"/>
  <c r="W15" i="1" s="1"/>
  <c r="AE15" i="1"/>
  <c r="X15" i="1" s="1"/>
  <c r="AF15" i="1"/>
  <c r="Y15" i="1" s="1"/>
  <c r="AG15" i="1"/>
  <c r="Z15" i="1" s="1"/>
  <c r="AC16" i="1"/>
  <c r="AD16" i="1"/>
  <c r="W16" i="1" s="1"/>
  <c r="AE16" i="1"/>
  <c r="X16" i="1" s="1"/>
  <c r="AF16" i="1"/>
  <c r="Y16" i="1" s="1"/>
  <c r="AG16" i="1"/>
  <c r="AD17" i="1"/>
  <c r="W17" i="1" s="1"/>
  <c r="AE17" i="1"/>
  <c r="X17" i="1" s="1"/>
  <c r="AF17" i="1"/>
  <c r="Y17" i="1" s="1"/>
  <c r="AG17" i="1"/>
  <c r="Z17" i="1" s="1"/>
  <c r="AD18" i="1"/>
  <c r="W18" i="1" s="1"/>
  <c r="AE18" i="1"/>
  <c r="X18" i="1" s="1"/>
  <c r="AF18" i="1"/>
  <c r="Y18" i="1" s="1"/>
  <c r="AG18" i="1"/>
  <c r="Z18" i="1" s="1"/>
  <c r="AD19" i="1"/>
  <c r="W19" i="1" s="1"/>
  <c r="AE19" i="1"/>
  <c r="X19" i="1" s="1"/>
  <c r="AF19" i="1"/>
  <c r="Y19" i="1" s="1"/>
  <c r="AG19" i="1"/>
  <c r="Z19" i="1" s="1"/>
  <c r="AD20" i="1"/>
  <c r="W20" i="1" s="1"/>
  <c r="AE20" i="1"/>
  <c r="X20" i="1" s="1"/>
  <c r="AF20" i="1"/>
  <c r="Y20" i="1" s="1"/>
  <c r="AG20" i="1"/>
  <c r="Z20" i="1" s="1"/>
  <c r="AD21" i="1"/>
  <c r="W21" i="1" s="1"/>
  <c r="AE21" i="1"/>
  <c r="X21" i="1" s="1"/>
  <c r="AF21" i="1"/>
  <c r="Y21" i="1" s="1"/>
  <c r="AG21" i="1"/>
  <c r="Z21" i="1" s="1"/>
  <c r="AC22" i="1"/>
  <c r="AD22" i="1"/>
  <c r="AE22" i="1"/>
  <c r="X22" i="1" s="1"/>
  <c r="AF22" i="1"/>
  <c r="Y22" i="1" s="1"/>
  <c r="AG22" i="1"/>
  <c r="Z22" i="1" s="1"/>
  <c r="AC23" i="1"/>
  <c r="AD23" i="1"/>
  <c r="W23" i="1" s="1"/>
  <c r="AE23" i="1"/>
  <c r="X23" i="1" s="1"/>
  <c r="AF23" i="1"/>
  <c r="Y23" i="1" s="1"/>
  <c r="AG23" i="1"/>
  <c r="Z23" i="1" s="1"/>
  <c r="AC24" i="1"/>
  <c r="AD24" i="1"/>
  <c r="W24" i="1" s="1"/>
  <c r="AE24" i="1"/>
  <c r="X24" i="1" s="1"/>
  <c r="AF24" i="1"/>
  <c r="Y24" i="1" s="1"/>
  <c r="AG24" i="1"/>
  <c r="Z24" i="1" s="1"/>
  <c r="AC25" i="1"/>
  <c r="AD25" i="1"/>
  <c r="W25" i="1" s="1"/>
  <c r="AE25" i="1"/>
  <c r="AF25" i="1"/>
  <c r="Y25" i="1" s="1"/>
  <c r="AG25" i="1"/>
  <c r="Z25" i="1" s="1"/>
  <c r="U9" i="1"/>
  <c r="X9" i="1"/>
  <c r="U10" i="1"/>
  <c r="U12" i="1"/>
  <c r="U13" i="1"/>
  <c r="X13" i="1"/>
  <c r="U14" i="1"/>
  <c r="U15" i="1"/>
  <c r="U16" i="1"/>
  <c r="Z16" i="1"/>
  <c r="U17" i="1"/>
  <c r="U18" i="1"/>
  <c r="U19" i="1"/>
  <c r="U20" i="1"/>
  <c r="U21" i="1"/>
  <c r="U22" i="1"/>
  <c r="W22" i="1"/>
  <c r="U23" i="1"/>
  <c r="U24" i="1"/>
  <c r="U25" i="1"/>
  <c r="X25" i="1"/>
  <c r="S9" i="1"/>
  <c r="AB9" i="1" s="1"/>
  <c r="V9" i="1" s="1"/>
  <c r="S10" i="1"/>
  <c r="AB10" i="1" s="1"/>
  <c r="V10" i="1" s="1"/>
  <c r="S12" i="1"/>
  <c r="AB12" i="1" s="1"/>
  <c r="V12" i="1" s="1"/>
  <c r="S13" i="1"/>
  <c r="AB13" i="1" s="1"/>
  <c r="V13" i="1" s="1"/>
  <c r="S15" i="1"/>
  <c r="AB15" i="1" s="1"/>
  <c r="V15" i="1" s="1"/>
  <c r="S16" i="1"/>
  <c r="AB16" i="1" s="1"/>
  <c r="V16" i="1" s="1"/>
  <c r="S17" i="1"/>
  <c r="AB17" i="1" s="1"/>
  <c r="V17" i="1" s="1"/>
  <c r="S18" i="1"/>
  <c r="AB18" i="1" s="1"/>
  <c r="V18" i="1" s="1"/>
  <c r="S19" i="1"/>
  <c r="AB19" i="1" s="1"/>
  <c r="V19" i="1" s="1"/>
  <c r="S20" i="1"/>
  <c r="AB20" i="1" s="1"/>
  <c r="V20" i="1" s="1"/>
  <c r="S21" i="1"/>
  <c r="AB21" i="1" s="1"/>
  <c r="V21" i="1" s="1"/>
  <c r="S22" i="1"/>
  <c r="AB22" i="1" s="1"/>
  <c r="V22" i="1" s="1"/>
  <c r="AB23" i="1"/>
  <c r="V23" i="1" s="1"/>
  <c r="AB24" i="1"/>
  <c r="V24" i="1" s="1"/>
  <c r="AB25" i="1"/>
  <c r="V25" i="1" s="1"/>
  <c r="W11" i="1" l="1"/>
  <c r="AC10" i="1"/>
  <c r="AD10" i="1" s="1"/>
  <c r="W10" i="1" s="1"/>
  <c r="AC20" i="1"/>
  <c r="AC18" i="1"/>
  <c r="AC12" i="1"/>
  <c r="AD12" i="1" s="1"/>
  <c r="AC9" i="1"/>
  <c r="AC21" i="1"/>
  <c r="AC19" i="1"/>
  <c r="AC17" i="1"/>
  <c r="S14" i="1"/>
  <c r="AB14" i="1" l="1"/>
  <c r="V14" i="1" s="1"/>
  <c r="AC14" i="1"/>
  <c r="AE12" i="1"/>
  <c r="W12" i="1"/>
  <c r="D27" i="1"/>
  <c r="AD8" i="1"/>
  <c r="W8" i="1" s="1"/>
  <c r="U8" i="1"/>
  <c r="S8" i="1"/>
  <c r="S27" i="1" s="1"/>
  <c r="AF8" i="1"/>
  <c r="Y8" i="1" s="1"/>
  <c r="AC8" i="1"/>
  <c r="AE8" i="1"/>
  <c r="X8" i="1" s="1"/>
  <c r="AG8" i="1"/>
  <c r="Z8" i="1" s="1"/>
  <c r="X12" i="1" l="1"/>
  <c r="X27" i="1" s="1"/>
  <c r="X29" i="1" s="1"/>
  <c r="AF12" i="1"/>
  <c r="W27" i="1"/>
  <c r="W29" i="1" s="1"/>
  <c r="U27" i="1"/>
  <c r="U29" i="1" s="1"/>
  <c r="AB8" i="1"/>
  <c r="V8" i="1" s="1"/>
  <c r="Y12" i="1" l="1"/>
  <c r="Y27" i="1" s="1"/>
  <c r="Y29" i="1" s="1"/>
  <c r="AG12" i="1"/>
  <c r="Z12" i="1" s="1"/>
  <c r="Z27" i="1" s="1"/>
  <c r="Z29" i="1" s="1"/>
  <c r="V27" i="1"/>
  <c r="V29" i="1" s="1"/>
  <c r="Z30" i="1" l="1"/>
  <c r="Z33" i="1" s="1"/>
  <c r="Z31" i="1" l="1"/>
</calcChain>
</file>

<file path=xl/comments1.xml><?xml version="1.0" encoding="utf-8"?>
<comments xmlns="http://schemas.openxmlformats.org/spreadsheetml/2006/main">
  <authors>
    <author>Michaela Gulemetova</author>
    <author>Andrea Beesley</author>
  </authors>
  <commentList>
    <comment ref="W6" authorId="0">
      <text>
        <r>
          <rPr>
            <b/>
            <sz val="9"/>
            <color indexed="81"/>
            <rFont val="Tahoma"/>
            <family val="2"/>
          </rPr>
          <t>Michaela Gulemetova:</t>
        </r>
        <r>
          <rPr>
            <sz val="9"/>
            <color indexed="81"/>
            <rFont val="Tahoma"/>
            <family val="2"/>
          </rPr>
          <t xml:space="preserve">
A high end: 5%
A low end: 1%</t>
        </r>
      </text>
    </comment>
    <comment ref="O9" authorId="0">
      <text>
        <r>
          <rPr>
            <sz val="9"/>
            <color indexed="81"/>
            <rFont val="Tahoma"/>
            <family val="2"/>
          </rPr>
          <t xml:space="preserve">Without the initial grant, there wouldn't be a new Teaching and Learning department as many of the staff were hired for that program specifically
</t>
        </r>
      </text>
    </comment>
    <comment ref="I10" authorId="0">
      <text>
        <r>
          <rPr>
            <b/>
            <sz val="9"/>
            <color indexed="81"/>
            <rFont val="Tahoma"/>
            <family val="2"/>
          </rPr>
          <t>Michaela Gulemetova:</t>
        </r>
        <r>
          <rPr>
            <sz val="9"/>
            <color indexed="81"/>
            <rFont val="Tahoma"/>
            <family val="2"/>
          </rPr>
          <t xml:space="preserve">
a new IT internship program was the byproduct of the D2D program which resulted in growing the IT department to handle all the generated IT related work: a total of 4 student interns were hired over 2 years at 20h/week at minimum wage. we split them here at 2 internships lasting 2 years each.
</t>
        </r>
      </text>
    </comment>
    <comment ref="I11" authorId="0">
      <text>
        <r>
          <rPr>
            <sz val="9"/>
            <color indexed="81"/>
            <rFont val="Tahoma"/>
            <family val="2"/>
          </rPr>
          <t>While initially 2 of the key positions were written in the grant proposal (and thus were inputs to this study), these positions became permanents and their salary for the subsequent years were funded in district operational budget</t>
        </r>
      </text>
    </comment>
    <comment ref="J11" authorId="0">
      <text>
        <r>
          <rPr>
            <sz val="9"/>
            <color indexed="81"/>
            <rFont val="Tahoma"/>
            <family val="2"/>
          </rPr>
          <t>After the initial 3 years as specified by the grant, for duration of the newly created job position we count only the 2 subsequent years</t>
        </r>
      </text>
    </comment>
    <comment ref="I12" authorId="0">
      <text>
        <r>
          <rPr>
            <sz val="9"/>
            <color indexed="81"/>
            <rFont val="Tahoma"/>
            <family val="2"/>
          </rPr>
          <t>Three new IT positions were created and assumed to last 3 years</t>
        </r>
      </text>
    </comment>
    <comment ref="Q12" authorId="0">
      <text>
        <r>
          <rPr>
            <sz val="9"/>
            <color indexed="81"/>
            <rFont val="Tahoma"/>
            <family val="2"/>
          </rPr>
          <t>We assume that district may have grown the IT department and attribute 25% to this outcome, given that the district invested in the super-high speed internet</t>
        </r>
      </text>
    </comment>
    <comment ref="I14" authorId="0">
      <text>
        <r>
          <rPr>
            <sz val="9"/>
            <color indexed="81"/>
            <rFont val="Tahoma"/>
            <family val="2"/>
          </rPr>
          <t>2 out of the 5 graduate students who instructed the high school students changed their career aspirations in favor of becoming teachers rather than scientists</t>
        </r>
      </text>
    </comment>
    <comment ref="J14" authorId="0">
      <text>
        <r>
          <rPr>
            <sz val="9"/>
            <color indexed="81"/>
            <rFont val="Tahoma"/>
            <family val="2"/>
          </rPr>
          <t>The financial value proxy is already in net present value so we enter it with 1 duration to avoid double counting</t>
        </r>
      </text>
    </comment>
    <comment ref="M14" authorId="0">
      <text>
        <r>
          <rPr>
            <sz val="9"/>
            <color indexed="81"/>
            <rFont val="Tahoma"/>
            <family val="2"/>
          </rPr>
          <t>Loss in average lifetime earnings related to a shift in career decision to become a teacher away from being a scientist = $2,217,000 - $3,500,000.</t>
        </r>
      </text>
    </comment>
    <comment ref="Q14" authorId="1">
      <text>
        <r>
          <rPr>
            <sz val="9"/>
            <color indexed="81"/>
            <rFont val="Tahoma"/>
            <family val="2"/>
          </rPr>
          <t xml:space="preserve">Career decisions are influenced by several factors; to be conservative we estimate 25% attribution to account for other possible influences during this time
</t>
        </r>
      </text>
    </comment>
    <comment ref="J17" authorId="0">
      <text>
        <r>
          <rPr>
            <b/>
            <sz val="9"/>
            <color indexed="81"/>
            <rFont val="Tahoma"/>
            <family val="2"/>
          </rPr>
          <t>Michaela Gulemetova:</t>
        </r>
        <r>
          <rPr>
            <sz val="9"/>
            <color indexed="81"/>
            <rFont val="Tahoma"/>
            <family val="2"/>
          </rPr>
          <t xml:space="preserve">
Although the effects of education levels last a lifetime, we enter a duration of 1 year to avoid counting a lifetime-earnings unit more than once.</t>
        </r>
      </text>
    </comment>
    <comment ref="M17" authorId="0">
      <text>
        <r>
          <rPr>
            <b/>
            <sz val="9"/>
            <color indexed="81"/>
            <rFont val="Tahoma"/>
            <family val="2"/>
          </rPr>
          <t>Michaela Gulemetova:</t>
        </r>
        <r>
          <rPr>
            <sz val="9"/>
            <color indexed="81"/>
            <rFont val="Tahoma"/>
            <family val="2"/>
          </rPr>
          <t xml:space="preserve">
difference between the lifetime earnings of high school graduates and dropouts</t>
        </r>
      </text>
    </comment>
    <comment ref="O17" authorId="0">
      <text>
        <r>
          <rPr>
            <b/>
            <sz val="9"/>
            <color indexed="81"/>
            <rFont val="Tahoma"/>
            <charset val="1"/>
          </rPr>
          <t>Michaela Gulemetova:</t>
        </r>
        <r>
          <rPr>
            <sz val="9"/>
            <color indexed="81"/>
            <rFont val="Tahoma"/>
            <charset val="1"/>
          </rPr>
          <t xml:space="preserve">
Before the program, no students said they intended to get less than a high school diploma, so it is unlikely that the program made these students more likely to graduate</t>
        </r>
      </text>
    </comment>
    <comment ref="I18" authorId="0">
      <text>
        <r>
          <rPr>
            <sz val="9"/>
            <color indexed="81"/>
            <rFont val="Tahoma"/>
            <family val="2"/>
          </rPr>
          <t xml:space="preserve">The high end of the quantity for student aspirations for two-year college is the number of students who participated in the ASLQ in December 2012 and December 2013 = </t>
        </r>
        <r>
          <rPr>
            <b/>
            <sz val="9"/>
            <color indexed="81"/>
            <rFont val="Tahoma"/>
            <family val="2"/>
          </rPr>
          <t>16</t>
        </r>
        <r>
          <rPr>
            <sz val="9"/>
            <color indexed="81"/>
            <rFont val="Tahoma"/>
            <family val="2"/>
          </rPr>
          <t xml:space="preserve">
The low end of the quantity for student aspirations for professional school is the number of students who participated in the ASLQ who indicated that they had changed their aspiration 16 x .31 =</t>
        </r>
        <r>
          <rPr>
            <b/>
            <sz val="9"/>
            <color indexed="81"/>
            <rFont val="Tahoma"/>
            <family val="2"/>
          </rPr>
          <t xml:space="preserve"> 5</t>
        </r>
        <r>
          <rPr>
            <sz val="9"/>
            <color indexed="81"/>
            <rFont val="Tahoma"/>
            <family val="2"/>
          </rPr>
          <t xml:space="preserve">
31% = STEM graduation rate for students who enter a two-year college (NCES)</t>
        </r>
      </text>
    </comment>
    <comment ref="M18" authorId="0">
      <text>
        <r>
          <rPr>
            <sz val="9"/>
            <color indexed="81"/>
            <rFont val="Tahoma"/>
            <family val="2"/>
          </rPr>
          <t>Difference between the lifetime earnings of students with associates degrees vs. high school graduates, less the average student debt amount for 2-year degree</t>
        </r>
      </text>
    </comment>
    <comment ref="O18" authorId="0">
      <text>
        <r>
          <rPr>
            <b/>
            <sz val="9"/>
            <color indexed="81"/>
            <rFont val="Tahoma"/>
            <family val="2"/>
          </rPr>
          <t>Michaela Gulemetova:</t>
        </r>
        <r>
          <rPr>
            <sz val="9"/>
            <color indexed="81"/>
            <rFont val="Tahoma"/>
            <family val="2"/>
          </rPr>
          <t xml:space="preserve">
14 out of the 16 students who said they wanted to complete 2-yr college had said so before the program, so we assume that they would have done so without the program (14/16 = 88%)</t>
        </r>
      </text>
    </comment>
    <comment ref="M19" authorId="0">
      <text>
        <r>
          <rPr>
            <sz val="9"/>
            <color indexed="81"/>
            <rFont val="Tahoma"/>
            <family val="2"/>
          </rPr>
          <t>Difference between the lifetime earnings of students with bachelors vs. associates degrees, less the average student debt amount for 4-year degree</t>
        </r>
      </text>
    </comment>
    <comment ref="O19" authorId="0">
      <text>
        <r>
          <rPr>
            <sz val="9"/>
            <color indexed="81"/>
            <rFont val="Tahoma"/>
            <charset val="1"/>
          </rPr>
          <t>Before the program, 67 students said they would get a four-year degree. We assume the ones who still intend to are those who originally did.</t>
        </r>
      </text>
    </comment>
    <comment ref="I20" authorId="0">
      <text>
        <r>
          <rPr>
            <sz val="9"/>
            <color indexed="81"/>
            <rFont val="Tahoma"/>
            <family val="2"/>
          </rPr>
          <t>The high end of the quantity for student aspirations for graduate school is the number of students who participated in the ASLQ in December 2012 and December 2013 =</t>
        </r>
        <r>
          <rPr>
            <b/>
            <sz val="9"/>
            <color indexed="81"/>
            <rFont val="Tahoma"/>
            <family val="2"/>
          </rPr>
          <t xml:space="preserve"> 57</t>
        </r>
        <r>
          <rPr>
            <sz val="9"/>
            <color indexed="81"/>
            <rFont val="Tahoma"/>
            <family val="2"/>
          </rPr>
          <t xml:space="preserve">
The low end of the quantity for student aspirations for graduate school is the number of students who participated in the ASLQ who indicated that they had changed their aspiration 57 x .52 x .66 = </t>
        </r>
        <r>
          <rPr>
            <b/>
            <sz val="9"/>
            <color indexed="81"/>
            <rFont val="Tahoma"/>
            <family val="2"/>
          </rPr>
          <t>22</t>
        </r>
        <r>
          <rPr>
            <sz val="9"/>
            <color indexed="81"/>
            <rFont val="Tahoma"/>
            <family val="2"/>
          </rPr>
          <t xml:space="preserve">
52% = STEM graduation rate for students who enter a four-year college (NCES)
66% = graduation rate for STEM Master's degrees</t>
        </r>
      </text>
    </comment>
    <comment ref="M20" authorId="0">
      <text>
        <r>
          <rPr>
            <sz val="9"/>
            <color indexed="81"/>
            <rFont val="Tahoma"/>
            <family val="2"/>
          </rPr>
          <t>Difference between the lifetime earnings of students with bachelor's vs. master's degrees, less the average student debt amount for master's degree</t>
        </r>
      </text>
    </comment>
    <comment ref="O20" authorId="0">
      <text>
        <r>
          <rPr>
            <sz val="9"/>
            <color indexed="81"/>
            <rFont val="Tahoma"/>
            <family val="2"/>
          </rPr>
          <t>41 out of the 57 students who said they wanted to complete graduate school had said so before the program, so we assume that they would have done so without the program (41/57 = 72%)</t>
        </r>
      </text>
    </comment>
    <comment ref="I21" authorId="0">
      <text>
        <r>
          <rPr>
            <sz val="9"/>
            <color indexed="81"/>
            <rFont val="Tahoma"/>
            <family val="2"/>
          </rPr>
          <t xml:space="preserve">The high end of the quantity for student aspirations for professional school is the number of students who participated in the ASLQ in December 2012 and December 2013 = </t>
        </r>
        <r>
          <rPr>
            <b/>
            <sz val="9"/>
            <color indexed="81"/>
            <rFont val="Tahoma"/>
            <family val="2"/>
          </rPr>
          <t>38</t>
        </r>
        <r>
          <rPr>
            <sz val="9"/>
            <color indexed="81"/>
            <rFont val="Tahoma"/>
            <family val="2"/>
          </rPr>
          <t xml:space="preserve">
The low end of the quantity for student aspirations for professional school is the number of students who participated in the ASLQ who indicated that they had changed their aspiration 38 x .52 x .42 x .81 = </t>
        </r>
        <r>
          <rPr>
            <b/>
            <sz val="9"/>
            <color indexed="81"/>
            <rFont val="Tahoma"/>
            <family val="2"/>
          </rPr>
          <t>7</t>
        </r>
        <r>
          <rPr>
            <sz val="9"/>
            <color indexed="81"/>
            <rFont val="Tahoma"/>
            <family val="2"/>
          </rPr>
          <t xml:space="preserve">
52% = STEM graduation rate for students who enter a four-year college (NCES)
42% = med school acceptance rate
81% = graduation rate for med school</t>
        </r>
      </text>
    </comment>
    <comment ref="M21" authorId="0">
      <text>
        <r>
          <rPr>
            <sz val="9"/>
            <color indexed="81"/>
            <rFont val="Tahoma"/>
            <family val="2"/>
          </rPr>
          <t>Difference between the lifetime earnings of students with professional vs. four-year degrees, minus the average student debt amount for professional degree</t>
        </r>
      </text>
    </comment>
    <comment ref="O21" authorId="0">
      <text>
        <r>
          <rPr>
            <sz val="9"/>
            <color indexed="81"/>
            <rFont val="Tahoma"/>
            <family val="2"/>
          </rPr>
          <t>31 out of the 38 students who said they wanted to complete professional school had said so before the program, so we assume that they would have done so without the program (31/38 = 82%)</t>
        </r>
      </text>
    </comment>
    <comment ref="Q21" authorId="0">
      <text>
        <r>
          <rPr>
            <sz val="9"/>
            <color indexed="81"/>
            <rFont val="Tahoma"/>
            <family val="2"/>
          </rPr>
          <t>While we agree that the ALSQ results show that students have changed their educational aspirations upward, the interviews revealed that the D2D program was not very intensive. In fact, participating students benefited from about 5 sessions during the year.  We have evidence that it was not as influential for high schools students as it was for middle school students. Therefore, in an effort not to over-claim its influence, even on students who changed their postsecondary plans, we include 75% attribution to account for other possible influences on postsecondary plans during this time.</t>
        </r>
      </text>
    </comment>
  </commentList>
</comments>
</file>

<file path=xl/sharedStrings.xml><?xml version="1.0" encoding="utf-8"?>
<sst xmlns="http://schemas.openxmlformats.org/spreadsheetml/2006/main" count="168" uniqueCount="136">
  <si>
    <t>Inputs</t>
  </si>
  <si>
    <t>Outputs</t>
  </si>
  <si>
    <t>Impact</t>
  </si>
  <si>
    <t>Description</t>
  </si>
  <si>
    <t>Indicator</t>
  </si>
  <si>
    <t>Source</t>
  </si>
  <si>
    <t>Duration</t>
  </si>
  <si>
    <t>Quantity</t>
  </si>
  <si>
    <t xml:space="preserve">    Calculating Social Return</t>
  </si>
  <si>
    <t>Total</t>
  </si>
  <si>
    <t>Present value of each year</t>
  </si>
  <si>
    <t>Total Present Value (PV)</t>
  </si>
  <si>
    <t>Year 1</t>
  </si>
  <si>
    <t>Year 2</t>
  </si>
  <si>
    <t>Year 3</t>
  </si>
  <si>
    <t>Year 4</t>
  </si>
  <si>
    <t>Year 5</t>
  </si>
  <si>
    <t>Stakeholders</t>
  </si>
  <si>
    <t>Attribution      %</t>
  </si>
  <si>
    <t>Displacement      %</t>
  </si>
  <si>
    <t>Deadweight      %</t>
  </si>
  <si>
    <t>Drop off         %</t>
  </si>
  <si>
    <t>Who else contributed to  the change?</t>
  </si>
  <si>
    <t>What activity did you displace?</t>
  </si>
  <si>
    <t>Does the outcome drop off in future years?</t>
  </si>
  <si>
    <t>Social Return on Investment - The Impact Map</t>
  </si>
  <si>
    <t>Stage 1</t>
  </si>
  <si>
    <t>Stage 2</t>
  </si>
  <si>
    <t>Stage 3</t>
  </si>
  <si>
    <t>Stage 4</t>
  </si>
  <si>
    <t>Financial Proxy</t>
  </si>
  <si>
    <t>The Outcomes (what changes)</t>
  </si>
  <si>
    <t xml:space="preserve">  Discount rate</t>
  </si>
  <si>
    <t>What do you think will change for them?</t>
  </si>
  <si>
    <t>What do they invest?</t>
  </si>
  <si>
    <t>How would you measure it?</t>
  </si>
  <si>
    <t>Where did you get the information from?</t>
  </si>
  <si>
    <t>How much change was there?</t>
  </si>
  <si>
    <t>What proxy would you use to value the change?</t>
  </si>
  <si>
    <t>What would have happened without the activity?</t>
  </si>
  <si>
    <t>Quantity times financial proxy, less deadweight,displacement and attribution</t>
  </si>
  <si>
    <t xml:space="preserve">Net Present Value </t>
  </si>
  <si>
    <t>(PV minus the investment)</t>
  </si>
  <si>
    <t xml:space="preserve">Social Return </t>
  </si>
  <si>
    <t>Who do we have an affect on?                          Who has an effect on us?</t>
  </si>
  <si>
    <t>How would the stakeholder describe the changes?</t>
  </si>
  <si>
    <t>Value in currency</t>
  </si>
  <si>
    <t>Year 0</t>
  </si>
  <si>
    <t>Does it start in period of activity (1) or in period after (2)</t>
  </si>
  <si>
    <t>Outcomes start</t>
  </si>
  <si>
    <t>Value per amount invested</t>
  </si>
  <si>
    <t xml:space="preserve">                                                                                                                                                                                                                                                                                                                                                                                                                                                                                                                                                                                                                                                                                                                                                                                                                                                                                                                                                                                                                                                                                         </t>
  </si>
  <si>
    <r>
      <t>How long does it last after end of activity? (</t>
    </r>
    <r>
      <rPr>
        <i/>
        <sz val="10"/>
        <rFont val="Calibri"/>
        <family val="2"/>
        <scheme val="minor"/>
      </rPr>
      <t>Only enter numbers)</t>
    </r>
  </si>
  <si>
    <r>
      <t>What is the value of the change? (</t>
    </r>
    <r>
      <rPr>
        <i/>
        <sz val="10"/>
        <rFont val="Calibri"/>
        <family val="2"/>
        <scheme val="minor"/>
      </rPr>
      <t>Only enter numbers)</t>
    </r>
  </si>
  <si>
    <t xml:space="preserve">Supplied iPad2 - one for each teacher and student attending a D2D enhanced course </t>
  </si>
  <si>
    <t>Apple, Inc</t>
  </si>
  <si>
    <t>State</t>
  </si>
  <si>
    <t>Grant funding</t>
  </si>
  <si>
    <t>Community/region</t>
  </si>
  <si>
    <t>Number of articles and other media pieces about D2D</t>
  </si>
  <si>
    <t>Provide frontline research labs to generate fully aligned course sessions in math and science</t>
  </si>
  <si>
    <t>Personnel time 
Use of research labs 
Materials and equipment</t>
  </si>
  <si>
    <t>Interviews</t>
  </si>
  <si>
    <t>Created project-based curriculum 
Led 3-5 interactive videoconferencing sessions with two separate classrooms 
Trained graduate students to deliver the sessions</t>
  </si>
  <si>
    <t>Create and implement new project-based flipped-classroom blended-learning environment</t>
  </si>
  <si>
    <t xml:space="preserve">Personnel time 
Classroom facilities 
iPads and other IT equipment
Ultra-high speed internet </t>
  </si>
  <si>
    <t>Summary of activity including numbers</t>
  </si>
  <si>
    <t>Interviews
Evaluation reports
Program proposal
Personal communication from program leaders</t>
  </si>
  <si>
    <t>What is the value of the inputs in currency</t>
  </si>
  <si>
    <t>Collaborate with scientists, expand their own scientific, pedagogical, and media skills, improve instruction, gain more visibility among students and parents</t>
  </si>
  <si>
    <t xml:space="preserve">Attended workshops and training sessions at GA Tech and Barrow County
Created a series of 3-5 one-hour lesson plans 
Held 3-5 live session with GA Tech scientists in their classrooms 
Provided problem-based learning environment for students
Particpated in GA Intern Fellowship for Teachers (GIFT) summer program (paid 4-7 week summer training with scientist)
Received iPads and apps training
Completed D2D Problem Based Learning workshop
Prepared for classroom sessions during the school year </t>
  </si>
  <si>
    <t>none</t>
  </si>
  <si>
    <t>Active technology partner</t>
  </si>
  <si>
    <t>Increase problem-solving, communication, self-management, engagement, perception of usefulness of science, intent to persist in science, student achievement; improve their media skills; share artifacts and classroom materials on the portal in a cloud environment</t>
  </si>
  <si>
    <t>Time</t>
  </si>
  <si>
    <t>Support the program</t>
  </si>
  <si>
    <t xml:space="preserve">Looked for available resources at the school and college scholarships to support their children
Spoke to children at home about the program
</t>
  </si>
  <si>
    <t xml:space="preserve">Parents' perceptions of students' attitudes and plans
</t>
  </si>
  <si>
    <t>Interviews, internet search</t>
  </si>
  <si>
    <t>Intended changes</t>
  </si>
  <si>
    <t>Monitored and supported grantees</t>
  </si>
  <si>
    <t>Attended 3 to 5 live videoconferencing sessions with GA Tech professors 
Worked on real-life projects applying math and science, learned in a hands-on environment and made presentations
Participated in science fair  
Attended a weeklong workshop at GA Tech working with a professor and 2 graduate students 
Attended talks about engineering profession</t>
  </si>
  <si>
    <t>Interviews
SY 12-13 and SY 13-14 evaluation reports
Final Performance Report Project 28
ALSQ reports (December 2012, May 2013, May 2014)</t>
  </si>
  <si>
    <t>Skill to use technology and equipment to conduct research/experiments in the classroom
Content knowledge
Self-efficacy for teaching and incorporating research
Increased teacher collaboration
Presence of project-based learning in daily teaching</t>
  </si>
  <si>
    <t>Interviews 
SY 12-13 and SY13-14 evaluation reports focus groups reports (GIFT training, iPad training, D2D professional development reports)</t>
  </si>
  <si>
    <t>High-quality Innovation Fund grantee, higher-quality science teaching in Barrow County and other districts</t>
  </si>
  <si>
    <t xml:space="preserve">Recruited 7 HS teachers and 3 GA Tech scientists to build 3 partnerships
Started the e-library
Hired and managed staff
1200 iPads and 600 Chromebooks ready for 1-to-1 program
Set up mobile video conferencing capabilities, improved the network environment capacity and mobile device environment
Created video profiles for scientists, teachers, classrooms, successful students 
Created Google Apps domain and email addresses for students
Trained teachers to use technology </t>
  </si>
  <si>
    <t>Size of new department budget</t>
  </si>
  <si>
    <t>Interview</t>
  </si>
  <si>
    <t>Funding amount</t>
  </si>
  <si>
    <t xml:space="preserve">Number of student interns at the IT department </t>
  </si>
  <si>
    <t>Number of new grants written 
Number of new partnerships created
District staff perceptions of changes in school environment</t>
  </si>
  <si>
    <t xml:space="preserve">Number of new positions created within the school district </t>
  </si>
  <si>
    <t>Average earned wages in IT</t>
  </si>
  <si>
    <t>Number of graduate students choosing to go into teaching</t>
  </si>
  <si>
    <t>Number of grad students obtaining teaching experience
Number of new grants written and received
Number of new partnerships created
Perceptions of Ga Tech staff about working with HS teachers and students</t>
  </si>
  <si>
    <t>Change in lifetime teacher earnings</t>
  </si>
  <si>
    <t>Carnevale et al. (2011)</t>
  </si>
  <si>
    <t>Number of students intending to graduate HS</t>
  </si>
  <si>
    <t>ALSQ</t>
  </si>
  <si>
    <t>Number of students intending to graduate from 2-year college</t>
  </si>
  <si>
    <t>Nmber of students intending to graduate from 4-year college</t>
  </si>
  <si>
    <t>Number of students intending to graduate from graduate school</t>
  </si>
  <si>
    <t>Number of students intending to graduate from professional school</t>
  </si>
  <si>
    <t>Student results on soft skills based on ALSQ: intrinsic motivation, self-management/self-regulation, intent-to-persist in STEM coursework or careers, self-efficacy, problem-solving, implementation activities
Number of students likely to graduate high school and choose a STEM career
Number of students passing EOCT</t>
  </si>
  <si>
    <t>Interview, communication with program leaders</t>
  </si>
  <si>
    <t>25% discount on iPads</t>
  </si>
  <si>
    <t>Annual salaries from district operational budget</t>
  </si>
  <si>
    <t>Change in lifetime earnings of HS grads</t>
  </si>
  <si>
    <t>Change in lifetime earnings of 2-year college grads</t>
  </si>
  <si>
    <t>Change in lifetime earnings of 4-year college grads</t>
  </si>
  <si>
    <t>Change in lifetime earnings of graduate school grads</t>
  </si>
  <si>
    <t>Change in lifetime earnings of professional school grads</t>
  </si>
  <si>
    <t>Expected/not monetized: created teacher-scientist partnerships; 
Unexpected/not monetized: expanded new partnerships with HEI and businesses and built their capacity to continue the program in house;  grew the IT department;  was included in NSF grant applications; set up new connections with researchers for science fair</t>
  </si>
  <si>
    <t>Expected/not monetized:  gained K-12 outreach experience to apply for more funding, built partnerships with teachers
Unexpected/not monetized: gained greater visibility and exposure of their work; gained greater pool of potential college and graduate students to work with; hosted career day</t>
  </si>
  <si>
    <t>Expected/not monetized: collaborated with scientists and partner teachers; increased content knowledge and gained practical examples; increased pedagogical knowledge by incorporating project-based learning and research into their teaching; increased the mathematical, scientific, and statistical rigor of classes; incorporated technology in the classroom
Unexpected/not monetized: discontinuity in the partnership as graduate students changed; more visibility among students and parents.</t>
  </si>
  <si>
    <t>Unexpected/not monetized: excitement about children's interest in STEM and in postsecondary education; began thinking about college for their children and how to support younger siblings earlier; interested in advocating for other children and parents</t>
  </si>
  <si>
    <t>Unexpected/not monetized: pride in quality of D2D program</t>
  </si>
  <si>
    <t>Expected/not monetized: learned to create digital media; saw useful applications of calculus outside school; enhanced problem-solving and higher-order thinking skills; increased their engagement, excitement, and ownership of learning using technology in the classroom; showed positive gains on tests; interested in pursuing GA Tech education. 
Unexpected/not monetized: difficulty doing both regular classroom work and D2D projects; less interested students slowly disengaged from the program over time; students engaged with college students and got perspective on pursing further education</t>
  </si>
  <si>
    <t>Unexpected/monetized: got a Teaching and Learning department and a building</t>
  </si>
  <si>
    <t>Unexpected/monetized: started student IT internship program</t>
  </si>
  <si>
    <t>Unexpected/monetized: created new permanent positions</t>
  </si>
  <si>
    <t>Unexpected/monetized: created new IT job positions</t>
  </si>
  <si>
    <t>Expected/monetized: Gained teaching experience (grad students)</t>
  </si>
  <si>
    <t>Expected/monetized: Higher education and career aspirations</t>
  </si>
  <si>
    <t xml:space="preserve">Number of new IT positions created within the school district </t>
  </si>
  <si>
    <t>Total number of high school participants</t>
  </si>
  <si>
    <t>Total number of participants</t>
  </si>
  <si>
    <t>Y2: 2012-13</t>
  </si>
  <si>
    <t>Y3: 2013-14</t>
  </si>
  <si>
    <t>High school share of total expenses</t>
  </si>
  <si>
    <t>School district staff (program developer/ grant writer, STEAM Integration Specialist, media producer, instructional technologist interviewed)</t>
  </si>
  <si>
    <t>Ga Tech Staff (three engineers interviewed)</t>
  </si>
  <si>
    <t>Participating high school teachers (one teacher interviewed)</t>
  </si>
  <si>
    <t>Students (two students interviewed)</t>
  </si>
  <si>
    <t>Parents (one parent interviewed)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</si>
</sst>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0.0%"/>
    <numFmt numFmtId="165" formatCode="0.0"/>
    <numFmt numFmtId="166" formatCode="&quot;£&quot;#,##0.00"/>
    <numFmt numFmtId="167" formatCode="\•"/>
    <numFmt numFmtId="168" formatCode="_(&quot;$&quot;* #,##0_);_(&quot;$&quot;* \(#,##0\);_(&quot;$&quot;* &quot;-&quot;??_);_(@_)"/>
  </numFmts>
  <fonts count="20" x14ac:knownFonts="1">
    <font>
      <sz val="10"/>
      <name val="Arial"/>
    </font>
    <font>
      <sz val="10"/>
      <name val="Arial"/>
      <family val="2"/>
    </font>
    <font>
      <sz val="10"/>
      <color theme="0"/>
      <name val="Arial"/>
      <family val="2"/>
    </font>
    <font>
      <sz val="14"/>
      <color theme="0"/>
      <name val="Arial"/>
      <family val="2"/>
    </font>
    <font>
      <sz val="14"/>
      <color rgb="FFFF0000"/>
      <name val="Calibri"/>
      <family val="2"/>
      <scheme val="minor"/>
    </font>
    <font>
      <b/>
      <sz val="12"/>
      <color theme="0"/>
      <name val="Arial"/>
      <family val="2"/>
    </font>
    <font>
      <b/>
      <sz val="12"/>
      <name val="Calibri"/>
      <family val="2"/>
      <scheme val="minor"/>
    </font>
    <font>
      <sz val="10"/>
      <name val="Calibri"/>
      <family val="2"/>
      <scheme val="minor"/>
    </font>
    <font>
      <i/>
      <sz val="10"/>
      <name val="Calibri"/>
      <family val="2"/>
      <scheme val="minor"/>
    </font>
    <font>
      <b/>
      <sz val="10"/>
      <name val="Calibri"/>
      <family val="2"/>
      <scheme val="minor"/>
    </font>
    <font>
      <sz val="12"/>
      <name val="Calibri"/>
      <family val="2"/>
      <scheme val="minor"/>
    </font>
    <font>
      <b/>
      <sz val="14"/>
      <color theme="0"/>
      <name val="Calibri"/>
      <family val="2"/>
      <scheme val="minor"/>
    </font>
    <font>
      <sz val="14"/>
      <name val="Calibri"/>
      <family val="2"/>
      <scheme val="minor"/>
    </font>
    <font>
      <sz val="10"/>
      <name val="Arial"/>
      <family val="2"/>
    </font>
    <font>
      <b/>
      <sz val="10"/>
      <color theme="0"/>
      <name val="Arial"/>
      <family val="2"/>
    </font>
    <font>
      <sz val="10"/>
      <name val="Calibri"/>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6CCBE"/>
        <bgColor indexed="64"/>
      </patternFill>
    </fill>
    <fill>
      <patternFill patternType="solid">
        <fgColor rgb="FFFED230"/>
        <bgColor indexed="64"/>
      </patternFill>
    </fill>
    <fill>
      <patternFill patternType="solid">
        <fgColor rgb="FFF60064"/>
        <bgColor indexed="64"/>
      </patternFill>
    </fill>
    <fill>
      <patternFill patternType="solid">
        <fgColor rgb="FFFFFF00"/>
        <bgColor indexed="64"/>
      </patternFill>
    </fill>
    <fill>
      <patternFill patternType="solid">
        <fgColor rgb="FFE1E2D4"/>
        <bgColor indexed="64"/>
      </patternFill>
    </fill>
    <fill>
      <patternFill patternType="solid">
        <fgColor theme="2" tint="-9.9978637043366805E-2"/>
        <bgColor indexed="64"/>
      </patternFill>
    </fill>
    <fill>
      <patternFill patternType="solid">
        <fgColor theme="0" tint="-0.14999847407452621"/>
        <bgColor indexed="64"/>
      </patternFill>
    </fill>
  </fills>
  <borders count="25">
    <border>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right style="thin">
        <color auto="1"/>
      </right>
      <top style="thin">
        <color auto="1"/>
      </top>
      <bottom/>
      <diagonal/>
    </border>
    <border>
      <left/>
      <right/>
      <top style="thin">
        <color theme="0"/>
      </top>
      <bottom style="thin">
        <color theme="0"/>
      </bottom>
      <diagonal/>
    </border>
    <border>
      <left style="thin">
        <color auto="1"/>
      </left>
      <right style="thin">
        <color auto="1"/>
      </right>
      <top style="thin">
        <color theme="0"/>
      </top>
      <bottom style="thin">
        <color theme="0"/>
      </bottom>
      <diagonal/>
    </border>
    <border>
      <left style="medium">
        <color rgb="FF06CCBE"/>
      </left>
      <right style="medium">
        <color rgb="FF06CCBE"/>
      </right>
      <top style="medium">
        <color rgb="FF06CCBE"/>
      </top>
      <bottom style="medium">
        <color rgb="FF06CCBE"/>
      </bottom>
      <diagonal/>
    </border>
    <border>
      <left style="thin">
        <color auto="1"/>
      </left>
      <right style="medium">
        <color rgb="FF06CCBE"/>
      </right>
      <top style="thin">
        <color auto="1"/>
      </top>
      <bottom/>
      <diagonal/>
    </border>
    <border>
      <left style="medium">
        <color rgb="FF06CCBE"/>
      </left>
      <right style="thin">
        <color auto="1"/>
      </right>
      <top style="thin">
        <color auto="1"/>
      </top>
      <bottom/>
      <diagonal/>
    </border>
    <border>
      <left style="thin">
        <color auto="1"/>
      </left>
      <right style="medium">
        <color rgb="FF06CCBE"/>
      </right>
      <top/>
      <bottom style="thin">
        <color auto="1"/>
      </bottom>
      <diagonal/>
    </border>
    <border>
      <left style="medium">
        <color rgb="FF06CCBE"/>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style="thin">
        <color theme="0"/>
      </top>
      <bottom/>
      <diagonal/>
    </border>
    <border>
      <left/>
      <right/>
      <top/>
      <bottom style="thin">
        <color theme="0"/>
      </bottom>
      <diagonal/>
    </border>
    <border>
      <left style="thin">
        <color auto="1"/>
      </left>
      <right style="thin">
        <color auto="1"/>
      </right>
      <top/>
      <bottom/>
      <diagonal/>
    </border>
    <border>
      <left/>
      <right style="thin">
        <color auto="1"/>
      </right>
      <top style="thin">
        <color theme="0"/>
      </top>
      <bottom style="thin">
        <color theme="0"/>
      </bottom>
      <diagonal/>
    </border>
  </borders>
  <cellStyleXfs count="3">
    <xf numFmtId="0" fontId="0" fillId="0" borderId="0"/>
    <xf numFmtId="44" fontId="13" fillId="0" borderId="0" applyFont="0" applyFill="0" applyBorder="0" applyAlignment="0" applyProtection="0"/>
    <xf numFmtId="9" fontId="13" fillId="0" borderId="0" applyFont="0" applyFill="0" applyBorder="0" applyAlignment="0" applyProtection="0"/>
  </cellStyleXfs>
  <cellXfs count="190">
    <xf numFmtId="0" fontId="0" fillId="0" borderId="0" xfId="0"/>
    <xf numFmtId="165" fontId="1" fillId="2" borderId="0" xfId="0" applyNumberFormat="1" applyFont="1" applyFill="1" applyBorder="1" applyAlignment="1" applyProtection="1">
      <alignment wrapText="1"/>
    </xf>
    <xf numFmtId="165" fontId="1" fillId="0" borderId="0" xfId="0" applyNumberFormat="1" applyFont="1" applyBorder="1" applyAlignment="1" applyProtection="1">
      <alignment wrapText="1"/>
    </xf>
    <xf numFmtId="166" fontId="1" fillId="0" borderId="0" xfId="0" applyNumberFormat="1" applyFont="1" applyBorder="1" applyAlignment="1" applyProtection="1">
      <alignment wrapText="1"/>
    </xf>
    <xf numFmtId="4" fontId="7" fillId="0" borderId="0" xfId="0" applyNumberFormat="1" applyFont="1" applyAlignment="1" applyProtection="1">
      <alignment wrapText="1"/>
    </xf>
    <xf numFmtId="4" fontId="7" fillId="0" borderId="0" xfId="0" applyNumberFormat="1" applyFont="1" applyBorder="1" applyAlignment="1" applyProtection="1">
      <alignment wrapText="1"/>
    </xf>
    <xf numFmtId="165" fontId="7" fillId="0" borderId="0" xfId="0" applyNumberFormat="1" applyFont="1" applyBorder="1" applyAlignment="1" applyProtection="1">
      <alignment wrapText="1"/>
    </xf>
    <xf numFmtId="166" fontId="7" fillId="0" borderId="0" xfId="0" applyNumberFormat="1" applyFont="1" applyBorder="1" applyAlignment="1" applyProtection="1">
      <alignment wrapText="1"/>
    </xf>
    <xf numFmtId="165" fontId="9" fillId="2" borderId="18" xfId="0" applyNumberFormat="1" applyFont="1" applyFill="1" applyBorder="1" applyAlignment="1" applyProtection="1"/>
    <xf numFmtId="4" fontId="7" fillId="0" borderId="6" xfId="0" applyNumberFormat="1" applyFont="1" applyBorder="1" applyAlignment="1" applyProtection="1">
      <alignment horizontal="right" vertical="center" wrapText="1"/>
    </xf>
    <xf numFmtId="4" fontId="7" fillId="0" borderId="0" xfId="0" applyNumberFormat="1" applyFont="1" applyBorder="1" applyAlignment="1" applyProtection="1">
      <alignment horizontal="right" vertical="center" wrapText="1"/>
    </xf>
    <xf numFmtId="165" fontId="9" fillId="2" borderId="20" xfId="0" applyNumberFormat="1" applyFont="1" applyFill="1" applyBorder="1" applyAlignment="1" applyProtection="1"/>
    <xf numFmtId="3" fontId="7" fillId="0" borderId="3" xfId="0" applyNumberFormat="1" applyFont="1" applyBorder="1" applyAlignment="1" applyProtection="1">
      <alignment vertical="center" wrapText="1"/>
    </xf>
    <xf numFmtId="3" fontId="7" fillId="0" borderId="3" xfId="0" applyNumberFormat="1" applyFont="1" applyBorder="1" applyAlignment="1" applyProtection="1">
      <alignment wrapText="1"/>
    </xf>
    <xf numFmtId="3" fontId="7" fillId="0" borderId="0" xfId="0" applyNumberFormat="1" applyFont="1" applyAlignment="1" applyProtection="1">
      <alignment wrapText="1"/>
    </xf>
    <xf numFmtId="3" fontId="7" fillId="0" borderId="9" xfId="0" applyNumberFormat="1" applyFont="1" applyBorder="1" applyAlignment="1" applyProtection="1">
      <alignment wrapText="1"/>
    </xf>
    <xf numFmtId="3" fontId="7" fillId="0" borderId="2" xfId="0" applyNumberFormat="1" applyFont="1" applyBorder="1" applyAlignment="1" applyProtection="1">
      <alignment wrapText="1"/>
    </xf>
    <xf numFmtId="3" fontId="7" fillId="0" borderId="6" xfId="0" applyNumberFormat="1" applyFont="1" applyBorder="1" applyAlignment="1" applyProtection="1">
      <alignment horizontal="right" vertical="center" wrapText="1"/>
    </xf>
    <xf numFmtId="3" fontId="7" fillId="0" borderId="1" xfId="0" applyNumberFormat="1" applyFont="1" applyBorder="1" applyAlignment="1" applyProtection="1">
      <alignment horizontal="right" vertical="center" wrapText="1"/>
    </xf>
    <xf numFmtId="0" fontId="11" fillId="4" borderId="0" xfId="0" applyFont="1" applyFill="1" applyAlignment="1" applyProtection="1">
      <alignment horizontal="center"/>
    </xf>
    <xf numFmtId="0" fontId="12" fillId="4" borderId="0" xfId="0" applyFont="1" applyFill="1" applyAlignment="1" applyProtection="1">
      <alignment wrapText="1"/>
    </xf>
    <xf numFmtId="166" fontId="12" fillId="4" borderId="0" xfId="0" applyNumberFormat="1" applyFont="1" applyFill="1" applyAlignment="1" applyProtection="1">
      <alignment wrapText="1"/>
    </xf>
    <xf numFmtId="0" fontId="12" fillId="0" borderId="11" xfId="0" applyFont="1" applyFill="1" applyBorder="1" applyAlignment="1" applyProtection="1">
      <alignment wrapText="1"/>
    </xf>
    <xf numFmtId="0" fontId="12" fillId="0" borderId="0" xfId="0" applyFont="1" applyFill="1" applyBorder="1" applyAlignment="1" applyProtection="1">
      <alignment wrapText="1"/>
    </xf>
    <xf numFmtId="0" fontId="12" fillId="3" borderId="0" xfId="0" applyFont="1" applyFill="1" applyAlignment="1" applyProtection="1">
      <alignment wrapText="1"/>
    </xf>
    <xf numFmtId="0" fontId="12" fillId="0" borderId="0" xfId="0" applyFont="1" applyFill="1" applyAlignment="1" applyProtection="1">
      <alignment wrapText="1"/>
    </xf>
    <xf numFmtId="0" fontId="5" fillId="3" borderId="0" xfId="0" applyFont="1" applyFill="1" applyAlignment="1" applyProtection="1">
      <alignment horizontal="center"/>
    </xf>
    <xf numFmtId="0" fontId="1" fillId="3" borderId="0" xfId="0" applyFont="1" applyFill="1" applyAlignment="1" applyProtection="1">
      <alignment wrapText="1"/>
    </xf>
    <xf numFmtId="166" fontId="1" fillId="3" borderId="0" xfId="0" applyNumberFormat="1" applyFont="1" applyFill="1" applyAlignment="1" applyProtection="1">
      <alignment wrapText="1"/>
    </xf>
    <xf numFmtId="0" fontId="1" fillId="0" borderId="11" xfId="0" applyFont="1" applyFill="1" applyBorder="1" applyAlignment="1" applyProtection="1">
      <alignment wrapText="1"/>
    </xf>
    <xf numFmtId="0" fontId="1" fillId="0" borderId="0" xfId="0" applyFont="1" applyFill="1" applyBorder="1" applyAlignment="1" applyProtection="1">
      <alignment wrapText="1"/>
    </xf>
    <xf numFmtId="0" fontId="1" fillId="0" borderId="0" xfId="0" applyFont="1" applyFill="1" applyAlignment="1" applyProtection="1">
      <alignment wrapText="1"/>
    </xf>
    <xf numFmtId="0" fontId="3" fillId="3" borderId="0" xfId="0" applyFont="1" applyFill="1" applyAlignment="1" applyProtection="1">
      <alignment horizontal="left" vertical="center"/>
    </xf>
    <xf numFmtId="0" fontId="4" fillId="3" borderId="0" xfId="0" applyFont="1" applyFill="1" applyAlignment="1" applyProtection="1">
      <alignment horizontal="left" vertical="center"/>
    </xf>
    <xf numFmtId="0" fontId="2" fillId="3" borderId="0" xfId="0" applyFont="1" applyFill="1" applyAlignment="1" applyProtection="1">
      <alignment horizontal="center" vertical="center" wrapText="1"/>
    </xf>
    <xf numFmtId="166" fontId="2" fillId="3" borderId="0" xfId="0" applyNumberFormat="1" applyFont="1" applyFill="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6" fillId="5" borderId="0" xfId="0" applyFont="1" applyFill="1" applyAlignment="1" applyProtection="1">
      <alignment vertical="center"/>
    </xf>
    <xf numFmtId="166" fontId="6" fillId="6" borderId="0" xfId="0" applyNumberFormat="1" applyFont="1" applyFill="1" applyAlignment="1" applyProtection="1">
      <alignment vertical="center" wrapText="1"/>
    </xf>
    <xf numFmtId="0" fontId="6" fillId="6" borderId="0" xfId="0" applyFont="1" applyFill="1" applyAlignment="1" applyProtection="1">
      <alignment vertical="center" wrapText="1"/>
    </xf>
    <xf numFmtId="0" fontId="6" fillId="4" borderId="0" xfId="0" applyFont="1" applyFill="1" applyAlignment="1" applyProtection="1">
      <alignment vertical="center" wrapText="1"/>
    </xf>
    <xf numFmtId="166" fontId="6" fillId="4" borderId="0" xfId="0" applyNumberFormat="1" applyFont="1" applyFill="1" applyAlignment="1" applyProtection="1">
      <alignment vertical="center" wrapText="1"/>
    </xf>
    <xf numFmtId="0" fontId="6" fillId="7" borderId="9" xfId="0" applyFont="1" applyFill="1" applyBorder="1" applyAlignment="1" applyProtection="1">
      <alignment horizontal="left" vertical="center" wrapText="1"/>
    </xf>
    <xf numFmtId="0" fontId="6" fillId="7" borderId="0" xfId="0" applyFont="1" applyFill="1" applyAlignment="1" applyProtection="1">
      <alignment vertical="center" wrapText="1"/>
    </xf>
    <xf numFmtId="0" fontId="6" fillId="0" borderId="11"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3" borderId="0" xfId="0" applyFont="1" applyFill="1" applyAlignment="1" applyProtection="1">
      <alignment vertical="center"/>
    </xf>
    <xf numFmtId="0" fontId="6" fillId="3" borderId="0" xfId="0" applyFont="1" applyFill="1" applyAlignment="1" applyProtection="1">
      <alignment vertical="center" wrapText="1"/>
    </xf>
    <xf numFmtId="166" fontId="6" fillId="3" borderId="0" xfId="0" applyNumberFormat="1" applyFont="1" applyFill="1" applyAlignment="1" applyProtection="1">
      <alignment vertical="center" wrapText="1"/>
    </xf>
    <xf numFmtId="0" fontId="6" fillId="0" borderId="0" xfId="0" applyFont="1" applyFill="1" applyAlignment="1" applyProtection="1">
      <alignment vertical="center" wrapText="1"/>
    </xf>
    <xf numFmtId="0" fontId="6" fillId="8" borderId="6" xfId="0" applyFont="1" applyFill="1" applyBorder="1" applyAlignment="1" applyProtection="1">
      <alignment horizontal="left" vertical="center" wrapText="1"/>
    </xf>
    <xf numFmtId="0" fontId="6" fillId="8" borderId="7" xfId="0" applyFont="1" applyFill="1" applyBorder="1" applyAlignment="1" applyProtection="1">
      <alignment horizontal="left" vertical="center" wrapText="1"/>
    </xf>
    <xf numFmtId="0" fontId="6" fillId="8" borderId="5" xfId="0" applyFont="1" applyFill="1" applyBorder="1" applyAlignment="1" applyProtection="1">
      <alignment horizontal="left" vertical="center" wrapText="1"/>
    </xf>
    <xf numFmtId="0" fontId="6" fillId="8" borderId="8" xfId="0" applyFont="1" applyFill="1" applyBorder="1" applyAlignment="1" applyProtection="1">
      <alignment horizontal="left" vertical="center" wrapText="1"/>
    </xf>
    <xf numFmtId="0" fontId="6" fillId="8" borderId="13" xfId="0" applyFont="1" applyFill="1" applyBorder="1" applyAlignment="1" applyProtection="1">
      <alignment horizontal="left" vertical="center" wrapText="1"/>
    </xf>
    <xf numFmtId="0" fontId="6" fillId="8" borderId="10"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8" borderId="7" xfId="0" applyFont="1" applyFill="1" applyBorder="1" applyAlignment="1" applyProtection="1">
      <alignment horizontal="left" vertical="center"/>
    </xf>
    <xf numFmtId="0" fontId="6" fillId="8" borderId="4" xfId="0" applyFont="1" applyFill="1" applyBorder="1" applyAlignment="1" applyProtection="1">
      <alignment horizontal="left" vertical="center"/>
    </xf>
    <xf numFmtId="0" fontId="6" fillId="8" borderId="5" xfId="0" applyFont="1" applyFill="1" applyBorder="1" applyAlignment="1" applyProtection="1">
      <alignment horizontal="left" vertical="center"/>
    </xf>
    <xf numFmtId="0" fontId="6" fillId="0" borderId="18" xfId="0" applyFont="1" applyFill="1" applyBorder="1" applyAlignment="1" applyProtection="1">
      <alignment horizontal="left" vertical="center" wrapText="1"/>
    </xf>
    <xf numFmtId="0" fontId="10" fillId="3" borderId="0" xfId="0"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0" fillId="8" borderId="0" xfId="0" applyFont="1" applyFill="1" applyAlignment="1" applyProtection="1">
      <alignment horizontal="left" vertical="center" wrapText="1"/>
    </xf>
    <xf numFmtId="0" fontId="7" fillId="8" borderId="6" xfId="0" applyFont="1" applyFill="1" applyBorder="1" applyAlignment="1" applyProtection="1">
      <alignment horizontal="left" vertical="top" wrapText="1"/>
    </xf>
    <xf numFmtId="166" fontId="7" fillId="8" borderId="6" xfId="0" applyNumberFormat="1" applyFont="1" applyFill="1" applyBorder="1" applyAlignment="1" applyProtection="1">
      <alignment horizontal="left" vertical="top" wrapText="1"/>
    </xf>
    <xf numFmtId="0" fontId="7" fillId="10" borderId="14" xfId="0" applyFont="1" applyFill="1" applyBorder="1" applyAlignment="1" applyProtection="1">
      <alignment horizontal="left" vertical="top" wrapText="1"/>
    </xf>
    <xf numFmtId="0" fontId="7" fillId="10" borderId="13" xfId="0" applyFont="1" applyFill="1" applyBorder="1" applyAlignment="1" applyProtection="1">
      <alignment horizontal="left" vertical="top" wrapText="1"/>
    </xf>
    <xf numFmtId="166" fontId="7" fillId="10" borderId="13" xfId="0" applyNumberFormat="1" applyFont="1" applyFill="1" applyBorder="1" applyAlignment="1" applyProtection="1">
      <alignment horizontal="left" vertical="top" wrapText="1"/>
    </xf>
    <xf numFmtId="0" fontId="7" fillId="10" borderId="15" xfId="0" applyFont="1" applyFill="1" applyBorder="1" applyAlignment="1" applyProtection="1">
      <alignment horizontal="left" vertical="top" wrapText="1"/>
    </xf>
    <xf numFmtId="0" fontId="7" fillId="10" borderId="6" xfId="0" applyFont="1" applyFill="1" applyBorder="1" applyAlignment="1" applyProtection="1">
      <alignment horizontal="left" vertical="top" wrapText="1"/>
    </xf>
    <xf numFmtId="0" fontId="7" fillId="3" borderId="11" xfId="0" applyFont="1" applyFill="1" applyBorder="1" applyAlignment="1" applyProtection="1">
      <alignment horizontal="left" vertical="top" wrapText="1"/>
    </xf>
    <xf numFmtId="0" fontId="7" fillId="10" borderId="7" xfId="0" applyFont="1" applyFill="1" applyBorder="1" applyAlignment="1" applyProtection="1">
      <alignment horizontal="left" vertical="top" wrapText="1"/>
    </xf>
    <xf numFmtId="0" fontId="7" fillId="10" borderId="5" xfId="0" applyFont="1" applyFill="1" applyBorder="1" applyAlignment="1" applyProtection="1">
      <alignment horizontal="left" vertical="top" wrapText="1"/>
    </xf>
    <xf numFmtId="164" fontId="7" fillId="10" borderId="3" xfId="0" applyNumberFormat="1" applyFont="1" applyFill="1" applyBorder="1" applyAlignment="1" applyProtection="1">
      <alignment horizontal="left" vertical="top" wrapText="1"/>
    </xf>
    <xf numFmtId="164" fontId="7" fillId="10" borderId="7" xfId="0" applyNumberFormat="1"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8" borderId="7" xfId="0" applyFont="1" applyFill="1" applyBorder="1" applyAlignment="1" applyProtection="1">
      <alignment horizontal="left" vertical="top" wrapText="1"/>
    </xf>
    <xf numFmtId="0" fontId="7" fillId="8" borderId="5" xfId="0" applyFont="1" applyFill="1" applyBorder="1" applyAlignment="1" applyProtection="1">
      <alignment horizontal="left" vertical="top" wrapText="1"/>
    </xf>
    <xf numFmtId="164" fontId="7" fillId="0" borderId="3" xfId="0" applyNumberFormat="1" applyFont="1" applyFill="1" applyBorder="1" applyAlignment="1" applyProtection="1">
      <alignment horizontal="left" vertical="top" wrapText="1"/>
    </xf>
    <xf numFmtId="164" fontId="7" fillId="9" borderId="7" xfId="0" applyNumberFormat="1" applyFont="1" applyFill="1" applyBorder="1" applyAlignment="1" applyProtection="1">
      <alignment horizontal="left" vertical="top" wrapText="1"/>
    </xf>
    <xf numFmtId="0" fontId="7" fillId="3"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7" fillId="8" borderId="0" xfId="0" applyFont="1" applyFill="1" applyAlignment="1" applyProtection="1">
      <alignment horizontal="left" vertical="top" wrapText="1"/>
    </xf>
    <xf numFmtId="0" fontId="7" fillId="8" borderId="1" xfId="0" applyFont="1" applyFill="1" applyBorder="1" applyAlignment="1" applyProtection="1">
      <alignment horizontal="left" vertical="top" wrapText="1"/>
    </xf>
    <xf numFmtId="166" fontId="7" fillId="8" borderId="1" xfId="0" applyNumberFormat="1" applyFont="1" applyFill="1" applyBorder="1" applyAlignment="1" applyProtection="1">
      <alignment horizontal="left" vertical="top" wrapText="1"/>
    </xf>
    <xf numFmtId="0" fontId="7" fillId="10" borderId="16" xfId="0" applyFont="1" applyFill="1" applyBorder="1" applyAlignment="1" applyProtection="1">
      <alignment horizontal="left" vertical="top" wrapText="1"/>
    </xf>
    <xf numFmtId="0" fontId="7" fillId="10" borderId="17" xfId="0" applyFont="1" applyFill="1" applyBorder="1" applyAlignment="1" applyProtection="1">
      <alignment horizontal="left" vertical="top" wrapText="1"/>
    </xf>
    <xf numFmtId="0" fontId="7" fillId="10" borderId="1" xfId="0" applyFont="1" applyFill="1" applyBorder="1" applyAlignment="1" applyProtection="1">
      <alignment horizontal="left" vertical="top" wrapText="1"/>
    </xf>
    <xf numFmtId="0" fontId="9" fillId="10" borderId="3" xfId="0" applyFont="1" applyFill="1" applyBorder="1" applyAlignment="1" applyProtection="1">
      <alignment horizontal="left" vertical="top" wrapText="1"/>
    </xf>
    <xf numFmtId="166" fontId="9" fillId="10" borderId="3" xfId="0" applyNumberFormat="1" applyFont="1" applyFill="1" applyBorder="1" applyAlignment="1" applyProtection="1">
      <alignment horizontal="left" vertical="top" wrapText="1"/>
    </xf>
    <xf numFmtId="0" fontId="9" fillId="8" borderId="3" xfId="0" applyFont="1" applyFill="1" applyBorder="1" applyAlignment="1" applyProtection="1">
      <alignment horizontal="left" vertical="top" wrapText="1"/>
    </xf>
    <xf numFmtId="166" fontId="9" fillId="8" borderId="3" xfId="0" applyNumberFormat="1" applyFont="1" applyFill="1" applyBorder="1" applyAlignment="1" applyProtection="1">
      <alignment horizontal="left" vertical="top" wrapText="1"/>
    </xf>
    <xf numFmtId="0" fontId="7" fillId="0" borderId="6" xfId="0" applyFont="1" applyBorder="1" applyAlignment="1" applyProtection="1">
      <alignment horizontal="left" vertical="center" wrapText="1"/>
    </xf>
    <xf numFmtId="0" fontId="7" fillId="0" borderId="3" xfId="0" applyFont="1" applyBorder="1" applyAlignment="1" applyProtection="1">
      <alignment vertical="center" wrapText="1"/>
    </xf>
    <xf numFmtId="0" fontId="7" fillId="0" borderId="2" xfId="0" applyFont="1" applyBorder="1" applyAlignment="1" applyProtection="1">
      <alignment vertical="center" wrapText="1"/>
    </xf>
    <xf numFmtId="168" fontId="7" fillId="0" borderId="2" xfId="1" applyNumberFormat="1" applyFont="1" applyBorder="1" applyAlignment="1" applyProtection="1">
      <alignment vertical="center" wrapText="1"/>
    </xf>
    <xf numFmtId="9" fontId="7" fillId="0" borderId="2" xfId="0" applyNumberFormat="1" applyFont="1" applyBorder="1" applyAlignment="1" applyProtection="1">
      <alignment horizontal="center" vertical="center" wrapText="1"/>
    </xf>
    <xf numFmtId="168" fontId="7" fillId="0" borderId="3" xfId="1" applyNumberFormat="1" applyFont="1" applyBorder="1" applyAlignment="1" applyProtection="1">
      <alignment vertical="center" wrapText="1"/>
    </xf>
    <xf numFmtId="4" fontId="7" fillId="0" borderId="12" xfId="0" applyNumberFormat="1" applyFont="1" applyFill="1" applyBorder="1" applyAlignment="1" applyProtection="1">
      <alignment vertical="center" wrapText="1"/>
    </xf>
    <xf numFmtId="4" fontId="7" fillId="0" borderId="23" xfId="0" applyNumberFormat="1" applyFont="1" applyFill="1" applyBorder="1" applyAlignment="1" applyProtection="1">
      <alignment vertical="center" wrapText="1"/>
    </xf>
    <xf numFmtId="0" fontId="7" fillId="3" borderId="0" xfId="0" applyFont="1" applyFill="1" applyAlignment="1" applyProtection="1">
      <alignment vertical="center" wrapText="1"/>
    </xf>
    <xf numFmtId="0" fontId="7" fillId="0" borderId="0" xfId="0" applyFont="1" applyFill="1" applyAlignment="1" applyProtection="1">
      <alignment vertical="center" wrapText="1"/>
    </xf>
    <xf numFmtId="0" fontId="7" fillId="0" borderId="0" xfId="0" applyFont="1" applyAlignment="1" applyProtection="1">
      <alignment vertical="center" wrapText="1"/>
    </xf>
    <xf numFmtId="0" fontId="7" fillId="0" borderId="23" xfId="0" applyFont="1" applyBorder="1" applyAlignment="1" applyProtection="1">
      <alignment horizontal="left" vertical="center" wrapText="1"/>
    </xf>
    <xf numFmtId="0" fontId="7" fillId="3" borderId="2" xfId="0" applyFont="1" applyFill="1" applyBorder="1" applyAlignment="1" applyProtection="1">
      <alignment vertical="center" wrapText="1"/>
    </xf>
    <xf numFmtId="168" fontId="7" fillId="3" borderId="2" xfId="1" applyNumberFormat="1" applyFont="1" applyFill="1" applyBorder="1" applyAlignment="1" applyProtection="1">
      <alignment vertical="center" wrapText="1"/>
    </xf>
    <xf numFmtId="0" fontId="7" fillId="0" borderId="1" xfId="0" applyFont="1" applyBorder="1" applyAlignment="1" applyProtection="1">
      <alignment horizontal="left" vertical="center" wrapText="1"/>
    </xf>
    <xf numFmtId="0" fontId="7" fillId="0" borderId="6" xfId="0" applyFont="1" applyBorder="1" applyAlignment="1" applyProtection="1">
      <alignment horizontal="center" vertical="center" wrapText="1"/>
    </xf>
    <xf numFmtId="0" fontId="7" fillId="3" borderId="3" xfId="0" applyFont="1" applyFill="1" applyBorder="1" applyAlignment="1" applyProtection="1">
      <alignment vertical="center" wrapText="1"/>
    </xf>
    <xf numFmtId="0" fontId="7" fillId="0" borderId="1" xfId="0" applyFont="1" applyBorder="1" applyAlignment="1" applyProtection="1">
      <alignment horizontal="center" vertical="center" wrapText="1"/>
    </xf>
    <xf numFmtId="167" fontId="7" fillId="0" borderId="3" xfId="0" applyNumberFormat="1" applyFont="1" applyBorder="1" applyAlignment="1" applyProtection="1">
      <alignment vertical="center" wrapText="1"/>
    </xf>
    <xf numFmtId="0" fontId="7" fillId="0" borderId="3" xfId="0" applyFont="1" applyFill="1" applyBorder="1" applyAlignment="1" applyProtection="1">
      <alignment vertical="center" wrapText="1"/>
    </xf>
    <xf numFmtId="4" fontId="7" fillId="0" borderId="6" xfId="0" applyNumberFormat="1"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6" xfId="0" applyFont="1" applyBorder="1" applyAlignment="1" applyProtection="1">
      <alignment vertical="center" wrapText="1"/>
    </xf>
    <xf numFmtId="0" fontId="7" fillId="3" borderId="6" xfId="0" applyFont="1" applyFill="1" applyBorder="1" applyAlignment="1" applyProtection="1">
      <alignment vertical="center" wrapText="1"/>
    </xf>
    <xf numFmtId="168" fontId="7" fillId="0" borderId="6" xfId="1" applyNumberFormat="1" applyFont="1" applyBorder="1" applyAlignment="1" applyProtection="1">
      <alignment vertical="center" wrapText="1"/>
    </xf>
    <xf numFmtId="4" fontId="7" fillId="0" borderId="23" xfId="0" applyNumberFormat="1" applyFont="1" applyBorder="1" applyAlignment="1" applyProtection="1">
      <alignment horizontal="left" vertical="center" wrapText="1"/>
    </xf>
    <xf numFmtId="0" fontId="7" fillId="0" borderId="18"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7" fillId="0" borderId="5" xfId="0" applyFont="1" applyFill="1" applyBorder="1" applyAlignment="1" applyProtection="1">
      <alignment vertical="center" wrapText="1"/>
    </xf>
    <xf numFmtId="0" fontId="7" fillId="0" borderId="9" xfId="0" applyFont="1" applyBorder="1" applyAlignment="1" applyProtection="1">
      <alignment vertical="center" wrapText="1"/>
    </xf>
    <xf numFmtId="168" fontId="15" fillId="0" borderId="3" xfId="1" applyNumberFormat="1" applyFont="1" applyBorder="1" applyAlignment="1" applyProtection="1">
      <alignment horizontal="left" vertical="center" wrapText="1"/>
    </xf>
    <xf numFmtId="9" fontId="7" fillId="0" borderId="2" xfId="0" applyNumberFormat="1" applyFont="1" applyFill="1" applyBorder="1" applyAlignment="1" applyProtection="1">
      <alignment horizontal="center" vertical="center" wrapText="1"/>
    </xf>
    <xf numFmtId="4" fontId="7" fillId="0" borderId="1" xfId="0" applyNumberFormat="1" applyFont="1" applyBorder="1" applyAlignment="1" applyProtection="1">
      <alignment horizontal="left" vertical="center" wrapText="1"/>
    </xf>
    <xf numFmtId="0" fontId="7" fillId="0" borderId="20" xfId="0" applyFont="1" applyBorder="1" applyAlignment="1" applyProtection="1">
      <alignment horizontal="left" vertical="center" wrapText="1"/>
    </xf>
    <xf numFmtId="4" fontId="7" fillId="0" borderId="6" xfId="0" applyNumberFormat="1" applyFont="1" applyBorder="1" applyAlignment="1" applyProtection="1">
      <alignment vertical="center" wrapText="1"/>
    </xf>
    <xf numFmtId="0" fontId="7" fillId="3" borderId="23" xfId="0" applyFont="1" applyFill="1" applyBorder="1" applyAlignment="1" applyProtection="1">
      <alignment vertical="center" wrapText="1"/>
    </xf>
    <xf numFmtId="0" fontId="7" fillId="0" borderId="23" xfId="0" applyFont="1" applyBorder="1" applyAlignment="1" applyProtection="1">
      <alignment vertical="center" wrapText="1"/>
    </xf>
    <xf numFmtId="0" fontId="7" fillId="0" borderId="19" xfId="0" applyFont="1" applyBorder="1" applyAlignment="1" applyProtection="1">
      <alignment vertical="center" wrapText="1"/>
    </xf>
    <xf numFmtId="168" fontId="7" fillId="0" borderId="23" xfId="1" applyNumberFormat="1" applyFont="1" applyBorder="1" applyAlignment="1" applyProtection="1">
      <alignment vertical="center" wrapText="1"/>
    </xf>
    <xf numFmtId="0" fontId="7" fillId="0" borderId="3"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168" fontId="7" fillId="0" borderId="1" xfId="1" applyNumberFormat="1" applyFont="1" applyBorder="1" applyAlignment="1" applyProtection="1">
      <alignment vertical="center" wrapText="1"/>
    </xf>
    <xf numFmtId="0" fontId="7" fillId="0" borderId="1" xfId="0" applyFont="1" applyBorder="1" applyAlignment="1" applyProtection="1">
      <alignment vertical="center" wrapText="1"/>
    </xf>
    <xf numFmtId="168" fontId="7" fillId="0" borderId="1" xfId="1" applyNumberFormat="1" applyFont="1" applyBorder="1" applyAlignment="1" applyProtection="1">
      <alignment horizontal="left" vertical="center" wrapText="1"/>
    </xf>
    <xf numFmtId="4" fontId="7" fillId="0" borderId="24" xfId="0" applyNumberFormat="1" applyFont="1" applyFill="1" applyBorder="1" applyAlignment="1" applyProtection="1">
      <alignment vertical="center" wrapText="1"/>
    </xf>
    <xf numFmtId="4" fontId="7" fillId="3" borderId="3" xfId="0" applyNumberFormat="1" applyFont="1" applyFill="1" applyBorder="1" applyAlignment="1" applyProtection="1">
      <alignment vertical="center" wrapText="1"/>
    </xf>
    <xf numFmtId="168" fontId="7" fillId="3" borderId="3" xfId="1" applyNumberFormat="1" applyFont="1" applyFill="1" applyBorder="1" applyAlignment="1" applyProtection="1">
      <alignment vertical="center" wrapText="1"/>
    </xf>
    <xf numFmtId="4" fontId="7" fillId="3" borderId="12" xfId="0" applyNumberFormat="1" applyFont="1" applyFill="1" applyBorder="1" applyAlignment="1" applyProtection="1">
      <alignment vertical="center" wrapText="1"/>
    </xf>
    <xf numFmtId="4" fontId="7" fillId="3" borderId="23" xfId="0" applyNumberFormat="1" applyFont="1" applyFill="1" applyBorder="1" applyAlignment="1" applyProtection="1">
      <alignment vertical="center" wrapText="1"/>
    </xf>
    <xf numFmtId="0" fontId="7" fillId="0" borderId="0" xfId="0" applyFont="1" applyAlignment="1" applyProtection="1">
      <alignment wrapText="1"/>
    </xf>
    <xf numFmtId="166" fontId="7" fillId="0" borderId="0" xfId="0" applyNumberFormat="1" applyFont="1" applyAlignment="1" applyProtection="1">
      <alignment wrapText="1"/>
    </xf>
    <xf numFmtId="0" fontId="7" fillId="0" borderId="0" xfId="0" applyFont="1" applyAlignment="1" applyProtection="1">
      <alignment horizontal="center" wrapText="1"/>
    </xf>
    <xf numFmtId="168" fontId="7" fillId="0" borderId="0" xfId="1" applyNumberFormat="1" applyFont="1" applyAlignment="1" applyProtection="1">
      <alignment wrapText="1"/>
    </xf>
    <xf numFmtId="4" fontId="7" fillId="0" borderId="11" xfId="0" applyNumberFormat="1" applyFont="1" applyFill="1" applyBorder="1" applyAlignment="1" applyProtection="1">
      <alignment wrapText="1"/>
    </xf>
    <xf numFmtId="4" fontId="7" fillId="0" borderId="0" xfId="0" applyNumberFormat="1" applyFont="1" applyFill="1" applyBorder="1" applyAlignment="1" applyProtection="1">
      <alignment wrapText="1"/>
    </xf>
    <xf numFmtId="0" fontId="7" fillId="3" borderId="0" xfId="0" applyFont="1" applyFill="1" applyAlignment="1" applyProtection="1">
      <alignment wrapText="1"/>
    </xf>
    <xf numFmtId="0" fontId="7" fillId="0" borderId="0" xfId="0" applyFont="1" applyFill="1" applyAlignment="1" applyProtection="1">
      <alignment wrapText="1"/>
    </xf>
    <xf numFmtId="0" fontId="6" fillId="0" borderId="3" xfId="0" applyFont="1" applyBorder="1" applyAlignment="1" applyProtection="1">
      <alignment wrapText="1"/>
    </xf>
    <xf numFmtId="0" fontId="7" fillId="0" borderId="0" xfId="0" applyFont="1" applyBorder="1" applyAlignment="1" applyProtection="1">
      <alignment wrapText="1"/>
    </xf>
    <xf numFmtId="0" fontId="7" fillId="0" borderId="0" xfId="0" applyFont="1" applyBorder="1" applyAlignment="1" applyProtection="1">
      <alignment horizontal="center" wrapText="1"/>
    </xf>
    <xf numFmtId="168" fontId="7" fillId="0" borderId="3" xfId="1" applyNumberFormat="1" applyFont="1" applyBorder="1" applyAlignment="1" applyProtection="1">
      <alignment wrapText="1"/>
    </xf>
    <xf numFmtId="0" fontId="7" fillId="0" borderId="21" xfId="0" applyFont="1" applyFill="1" applyBorder="1" applyAlignment="1" applyProtection="1">
      <alignment wrapText="1"/>
    </xf>
    <xf numFmtId="0" fontId="7" fillId="0" borderId="0" xfId="0" applyFont="1" applyFill="1" applyBorder="1" applyAlignment="1" applyProtection="1">
      <alignment wrapText="1"/>
    </xf>
    <xf numFmtId="0" fontId="9" fillId="0" borderId="7" xfId="0" applyFont="1" applyBorder="1" applyAlignment="1" applyProtection="1"/>
    <xf numFmtId="0" fontId="7" fillId="0" borderId="5" xfId="0" applyFont="1" applyBorder="1" applyAlignment="1" applyProtection="1">
      <alignment wrapText="1"/>
    </xf>
    <xf numFmtId="0" fontId="7" fillId="0" borderId="23" xfId="0" applyFont="1" applyFill="1" applyBorder="1" applyAlignment="1" applyProtection="1">
      <alignment wrapText="1"/>
    </xf>
    <xf numFmtId="0" fontId="7" fillId="0" borderId="18" xfId="0" applyFont="1" applyFill="1" applyBorder="1" applyAlignment="1" applyProtection="1">
      <alignment wrapText="1"/>
    </xf>
    <xf numFmtId="0" fontId="9" fillId="0" borderId="20" xfId="0" applyFont="1" applyBorder="1" applyAlignment="1" applyProtection="1"/>
    <xf numFmtId="0" fontId="7" fillId="0" borderId="2" xfId="0" applyFont="1" applyBorder="1" applyAlignment="1" applyProtection="1">
      <alignment wrapText="1"/>
    </xf>
    <xf numFmtId="0" fontId="7" fillId="0" borderId="19" xfId="0" applyFont="1" applyFill="1" applyBorder="1" applyAlignment="1" applyProtection="1">
      <alignment wrapText="1"/>
    </xf>
    <xf numFmtId="3" fontId="7" fillId="0" borderId="7" xfId="0" applyNumberFormat="1" applyFont="1" applyBorder="1" applyAlignment="1" applyProtection="1">
      <alignment wrapText="1"/>
    </xf>
    <xf numFmtId="166" fontId="7" fillId="3" borderId="0" xfId="0" applyNumberFormat="1" applyFont="1" applyFill="1" applyAlignment="1" applyProtection="1">
      <alignment wrapText="1"/>
    </xf>
    <xf numFmtId="0" fontId="7" fillId="0" borderId="19" xfId="0" applyFont="1" applyBorder="1" applyAlignment="1" applyProtection="1">
      <alignment wrapText="1"/>
    </xf>
    <xf numFmtId="3" fontId="7" fillId="0" borderId="18" xfId="0" applyNumberFormat="1" applyFont="1" applyBorder="1" applyAlignment="1" applyProtection="1">
      <alignment wrapText="1"/>
    </xf>
    <xf numFmtId="3" fontId="7" fillId="0" borderId="0" xfId="0" applyNumberFormat="1" applyFont="1" applyBorder="1" applyAlignment="1" applyProtection="1">
      <alignment wrapText="1"/>
    </xf>
    <xf numFmtId="3" fontId="7" fillId="0" borderId="20" xfId="0" applyNumberFormat="1" applyFont="1" applyBorder="1" applyAlignment="1" applyProtection="1">
      <alignment wrapText="1"/>
    </xf>
    <xf numFmtId="0" fontId="7" fillId="0" borderId="18" xfId="0" applyFont="1" applyBorder="1" applyAlignment="1" applyProtection="1">
      <alignment wrapText="1"/>
    </xf>
    <xf numFmtId="0" fontId="7" fillId="3" borderId="3" xfId="0" applyFont="1" applyFill="1" applyBorder="1" applyAlignment="1" applyProtection="1">
      <alignment wrapText="1"/>
    </xf>
    <xf numFmtId="0" fontId="9" fillId="0" borderId="3" xfId="0" applyFont="1" applyBorder="1" applyAlignment="1" applyProtection="1">
      <alignment horizontal="center" vertical="center" wrapText="1"/>
    </xf>
    <xf numFmtId="9" fontId="9" fillId="3" borderId="3" xfId="2" applyFont="1" applyFill="1" applyBorder="1" applyAlignment="1" applyProtection="1">
      <alignment horizontal="center" wrapText="1"/>
    </xf>
    <xf numFmtId="0" fontId="9" fillId="3" borderId="3" xfId="0" applyFont="1" applyFill="1" applyBorder="1" applyAlignment="1" applyProtection="1">
      <alignment horizontal="center" vertical="center" wrapText="1"/>
    </xf>
    <xf numFmtId="0" fontId="9" fillId="0" borderId="20" xfId="0" applyFont="1" applyBorder="1" applyAlignment="1" applyProtection="1">
      <alignment horizontal="left"/>
    </xf>
    <xf numFmtId="0" fontId="7" fillId="0" borderId="23" xfId="0" applyFont="1" applyBorder="1" applyAlignment="1" applyProtection="1">
      <alignment wrapText="1"/>
    </xf>
    <xf numFmtId="0" fontId="7" fillId="0" borderId="20" xfId="0" applyFont="1" applyBorder="1" applyAlignment="1" applyProtection="1">
      <alignment wrapText="1"/>
    </xf>
    <xf numFmtId="0" fontId="7" fillId="0" borderId="9" xfId="0" applyFont="1" applyBorder="1" applyAlignment="1" applyProtection="1">
      <alignment wrapText="1"/>
    </xf>
    <xf numFmtId="0" fontId="7" fillId="0" borderId="1" xfId="0" applyFont="1" applyBorder="1" applyAlignment="1" applyProtection="1">
      <alignment wrapText="1"/>
    </xf>
    <xf numFmtId="0" fontId="7" fillId="3" borderId="3" xfId="2" applyNumberFormat="1" applyFont="1" applyFill="1" applyBorder="1" applyAlignment="1" applyProtection="1">
      <alignment horizontal="center" wrapText="1"/>
    </xf>
    <xf numFmtId="0" fontId="9" fillId="3" borderId="3" xfId="0" applyFont="1" applyFill="1" applyBorder="1" applyAlignment="1" applyProtection="1">
      <alignment horizontal="center" wrapText="1"/>
    </xf>
    <xf numFmtId="0" fontId="7" fillId="0" borderId="22" xfId="0" applyFont="1" applyFill="1" applyBorder="1" applyAlignment="1" applyProtection="1">
      <alignment wrapText="1"/>
    </xf>
    <xf numFmtId="1" fontId="7" fillId="3" borderId="0" xfId="0" applyNumberFormat="1" applyFont="1" applyFill="1" applyAlignment="1" applyProtection="1">
      <alignment wrapText="1"/>
    </xf>
    <xf numFmtId="9" fontId="14" fillId="3" borderId="0" xfId="2" applyFont="1" applyFill="1" applyAlignment="1" applyProtection="1">
      <alignment wrapText="1"/>
    </xf>
    <xf numFmtId="0" fontId="1" fillId="0" borderId="0" xfId="0" applyFont="1" applyAlignment="1" applyProtection="1">
      <alignment wrapText="1"/>
    </xf>
    <xf numFmtId="166" fontId="1" fillId="0" borderId="0" xfId="0" applyNumberFormat="1" applyFont="1" applyAlignment="1" applyProtection="1">
      <alignment wrapText="1"/>
    </xf>
    <xf numFmtId="0" fontId="1" fillId="0" borderId="0" xfId="0" applyFont="1" applyBorder="1" applyAlignment="1" applyProtection="1">
      <alignment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92B0D2"/>
      <color rgb="FF6BEFEC"/>
      <color rgb="FF17CFCB"/>
      <color rgb="FF16C8C4"/>
      <color rgb="FF15BBB7"/>
      <color rgb="FF15BDB9"/>
      <color rgb="FF00CC99"/>
      <color rgb="FF00FF99"/>
      <color rgb="FF33CC33"/>
      <color rgb="FF2DC1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800100</xdr:colOff>
      <xdr:row>3</xdr:row>
      <xdr:rowOff>228600</xdr:rowOff>
    </xdr:from>
    <xdr:to>
      <xdr:col>1</xdr:col>
      <xdr:colOff>1209675</xdr:colOff>
      <xdr:row>3</xdr:row>
      <xdr:rowOff>228601</xdr:rowOff>
    </xdr:to>
    <xdr:cxnSp macro="">
      <xdr:nvCxnSpPr>
        <xdr:cNvPr id="3" name="Straight Arrow Connector 2"/>
        <xdr:cNvCxnSpPr/>
      </xdr:nvCxnSpPr>
      <xdr:spPr>
        <a:xfrm flipV="1">
          <a:off x="800100" y="1009650"/>
          <a:ext cx="1771650" cy="1"/>
        </a:xfrm>
        <a:prstGeom prst="straightConnector1">
          <a:avLst/>
        </a:prstGeom>
        <a:ln w="57150" cap="sq">
          <a:solidFill>
            <a:sysClr val="windowText" lastClr="000000"/>
          </a:solidFill>
          <a:miter lim="8000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742950</xdr:colOff>
      <xdr:row>3</xdr:row>
      <xdr:rowOff>238125</xdr:rowOff>
    </xdr:from>
    <xdr:to>
      <xdr:col>5</xdr:col>
      <xdr:colOff>1419225</xdr:colOff>
      <xdr:row>3</xdr:row>
      <xdr:rowOff>239713</xdr:rowOff>
    </xdr:to>
    <xdr:cxnSp macro="">
      <xdr:nvCxnSpPr>
        <xdr:cNvPr id="4" name="Straight Arrow Connector 3"/>
        <xdr:cNvCxnSpPr/>
      </xdr:nvCxnSpPr>
      <xdr:spPr>
        <a:xfrm>
          <a:off x="3467100" y="1019175"/>
          <a:ext cx="4229100" cy="1588"/>
        </a:xfrm>
        <a:prstGeom prst="straightConnector1">
          <a:avLst/>
        </a:prstGeom>
        <a:ln w="57150" cap="sq">
          <a:solidFill>
            <a:sysClr val="windowText" lastClr="000000"/>
          </a:solidFill>
          <a:miter lim="8000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238125</xdr:colOff>
      <xdr:row>3</xdr:row>
      <xdr:rowOff>219075</xdr:rowOff>
    </xdr:from>
    <xdr:to>
      <xdr:col>18</xdr:col>
      <xdr:colOff>695325</xdr:colOff>
      <xdr:row>3</xdr:row>
      <xdr:rowOff>220663</xdr:rowOff>
    </xdr:to>
    <xdr:cxnSp macro="">
      <xdr:nvCxnSpPr>
        <xdr:cNvPr id="6" name="Straight Arrow Connector 5"/>
        <xdr:cNvCxnSpPr/>
      </xdr:nvCxnSpPr>
      <xdr:spPr>
        <a:xfrm>
          <a:off x="16621125" y="1000125"/>
          <a:ext cx="2257425" cy="1588"/>
        </a:xfrm>
        <a:prstGeom prst="straightConnector1">
          <a:avLst/>
        </a:prstGeom>
        <a:ln w="57150" cap="sq">
          <a:solidFill>
            <a:sysClr val="windowText" lastClr="000000"/>
          </a:solidFill>
          <a:miter lim="8000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762000</xdr:colOff>
      <xdr:row>3</xdr:row>
      <xdr:rowOff>228600</xdr:rowOff>
    </xdr:from>
    <xdr:to>
      <xdr:col>13</xdr:col>
      <xdr:colOff>733425</xdr:colOff>
      <xdr:row>3</xdr:row>
      <xdr:rowOff>238125</xdr:rowOff>
    </xdr:to>
    <xdr:cxnSp macro="">
      <xdr:nvCxnSpPr>
        <xdr:cNvPr id="7" name="Straight Arrow Connector 6"/>
        <xdr:cNvCxnSpPr/>
      </xdr:nvCxnSpPr>
      <xdr:spPr>
        <a:xfrm>
          <a:off x="8905875" y="1009650"/>
          <a:ext cx="5238750" cy="9525"/>
        </a:xfrm>
        <a:prstGeom prst="straightConnector1">
          <a:avLst/>
        </a:prstGeom>
        <a:ln w="57150" cap="sq">
          <a:solidFill>
            <a:sysClr val="windowText" lastClr="000000"/>
          </a:solidFill>
          <a:miter lim="8000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2"/>
  <sheetViews>
    <sheetView showGridLines="0" tabSelected="1" zoomScaleNormal="100" zoomScalePageLayoutView="125" workbookViewId="0">
      <pane xSplit="1" ySplit="7" topLeftCell="J8" activePane="bottomRight" state="frozen"/>
      <selection pane="topRight" activeCell="B1" sqref="B1"/>
      <selection pane="bottomLeft" activeCell="A8" sqref="A8"/>
      <selection pane="bottomRight" activeCell="R34" sqref="R34"/>
    </sheetView>
  </sheetViews>
  <sheetFormatPr defaultColWidth="9.140625" defaultRowHeight="12.75" x14ac:dyDescent="0.2"/>
  <cols>
    <col min="1" max="1" width="20.42578125" style="187" customWidth="1"/>
    <col min="2" max="2" width="24.42578125" style="187" customWidth="1"/>
    <col min="3" max="3" width="22.28515625" style="187" customWidth="1"/>
    <col min="4" max="4" width="11.140625" style="188" customWidth="1"/>
    <col min="5" max="5" width="39.7109375" style="187" customWidth="1"/>
    <col min="6" max="6" width="50.42578125" style="187" customWidth="1"/>
    <col min="7" max="7" width="24" style="187" customWidth="1"/>
    <col min="8" max="8" width="15.42578125" style="187" customWidth="1"/>
    <col min="9" max="9" width="11.42578125" style="187" customWidth="1"/>
    <col min="10" max="10" width="18.42578125" style="187" customWidth="1"/>
    <col min="11" max="11" width="11.28515625" style="187" hidden="1" customWidth="1"/>
    <col min="12" max="12" width="26.140625" style="187" customWidth="1"/>
    <col min="13" max="13" width="14.42578125" style="188" customWidth="1"/>
    <col min="14" max="14" width="18.28515625" style="187" customWidth="1"/>
    <col min="15" max="15" width="14.7109375" style="187" customWidth="1"/>
    <col min="16" max="16" width="16.42578125" style="187" customWidth="1"/>
    <col min="17" max="17" width="13.85546875" style="187" customWidth="1"/>
    <col min="18" max="18" width="12.28515625" style="187" customWidth="1"/>
    <col min="19" max="19" width="13.42578125" style="187" customWidth="1"/>
    <col min="20" max="20" width="11.85546875" style="29" customWidth="1"/>
    <col min="21" max="21" width="14.28515625" style="30" customWidth="1"/>
    <col min="22" max="23" width="12.85546875" style="30" customWidth="1"/>
    <col min="24" max="24" width="14.42578125" style="30" customWidth="1"/>
    <col min="25" max="25" width="15.42578125" style="30" customWidth="1"/>
    <col min="26" max="26" width="12.85546875" style="30" customWidth="1"/>
    <col min="27" max="27" width="15.85546875" style="30" customWidth="1"/>
    <col min="28" max="28" width="10.42578125" style="187" customWidth="1"/>
    <col min="29" max="29" width="11.28515625" style="187" customWidth="1"/>
    <col min="30" max="31" width="10.42578125" style="187" customWidth="1"/>
    <col min="32" max="32" width="10.28515625" style="187" customWidth="1"/>
    <col min="33" max="33" width="10.28515625" style="188" customWidth="1"/>
    <col min="34" max="36" width="9.140625" style="27"/>
    <col min="37" max="75" width="9.140625" style="31"/>
    <col min="76" max="16384" width="9.140625" style="187"/>
  </cols>
  <sheetData>
    <row r="1" spans="1:75" s="20" customFormat="1" ht="18.75" x14ac:dyDescent="0.3">
      <c r="A1" s="19" t="s">
        <v>25</v>
      </c>
      <c r="B1" s="19"/>
      <c r="C1" s="19"/>
      <c r="D1" s="19"/>
      <c r="E1" s="19"/>
      <c r="F1" s="19"/>
      <c r="G1" s="19"/>
      <c r="H1" s="19"/>
      <c r="M1" s="21"/>
      <c r="T1" s="22"/>
      <c r="U1" s="23"/>
      <c r="V1" s="23"/>
      <c r="W1" s="23"/>
      <c r="X1" s="23"/>
      <c r="Y1" s="23"/>
      <c r="Z1" s="23"/>
      <c r="AA1" s="23"/>
      <c r="AG1" s="21"/>
      <c r="AH1" s="24"/>
      <c r="AI1" s="24"/>
      <c r="AJ1" s="24"/>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s="27" customFormat="1" ht="7.5" customHeight="1" x14ac:dyDescent="0.25">
      <c r="A2" s="26"/>
      <c r="B2" s="26"/>
      <c r="C2" s="26"/>
      <c r="D2" s="26"/>
      <c r="E2" s="26"/>
      <c r="F2" s="26"/>
      <c r="G2" s="26"/>
      <c r="H2" s="26"/>
      <c r="M2" s="28"/>
      <c r="T2" s="29"/>
      <c r="U2" s="30"/>
      <c r="V2" s="30"/>
      <c r="W2" s="30"/>
      <c r="X2" s="30"/>
      <c r="Y2" s="30"/>
      <c r="Z2" s="30"/>
      <c r="AA2" s="30"/>
      <c r="AG2" s="28"/>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row>
    <row r="3" spans="1:75" s="34" customFormat="1" ht="7.5" customHeight="1" x14ac:dyDescent="0.2">
      <c r="A3" s="32"/>
      <c r="B3" s="33"/>
      <c r="D3" s="35"/>
      <c r="M3" s="35"/>
      <c r="T3" s="36"/>
      <c r="U3" s="37"/>
      <c r="V3" s="37"/>
      <c r="W3" s="37"/>
      <c r="X3" s="37"/>
      <c r="Y3" s="37"/>
      <c r="Z3" s="37"/>
      <c r="AA3" s="37"/>
      <c r="AG3" s="35"/>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row>
    <row r="4" spans="1:75" s="49" customFormat="1" ht="34.5" customHeight="1" thickBot="1" x14ac:dyDescent="0.25">
      <c r="A4" s="39" t="s">
        <v>26</v>
      </c>
      <c r="B4" s="39"/>
      <c r="C4" s="40" t="s">
        <v>27</v>
      </c>
      <c r="D4" s="40"/>
      <c r="E4" s="41"/>
      <c r="F4" s="41"/>
      <c r="G4" s="42" t="s">
        <v>28</v>
      </c>
      <c r="H4" s="42"/>
      <c r="I4" s="42"/>
      <c r="J4" s="42"/>
      <c r="K4" s="42"/>
      <c r="L4" s="42"/>
      <c r="M4" s="43"/>
      <c r="N4" s="42"/>
      <c r="O4" s="44" t="s">
        <v>29</v>
      </c>
      <c r="P4" s="44"/>
      <c r="Q4" s="45"/>
      <c r="R4" s="45"/>
      <c r="S4" s="45"/>
      <c r="T4" s="46"/>
      <c r="U4" s="47"/>
      <c r="V4" s="47"/>
      <c r="W4" s="47"/>
      <c r="X4" s="47"/>
      <c r="Y4" s="47"/>
      <c r="Z4" s="47"/>
      <c r="AA4" s="47"/>
      <c r="AB4" s="48"/>
      <c r="AG4" s="50"/>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row>
    <row r="5" spans="1:75" s="65" customFormat="1" ht="36.75" customHeight="1" thickBot="1" x14ac:dyDescent="0.25">
      <c r="A5" s="52" t="s">
        <v>17</v>
      </c>
      <c r="B5" s="52" t="s">
        <v>79</v>
      </c>
      <c r="C5" s="53" t="s">
        <v>0</v>
      </c>
      <c r="D5" s="54"/>
      <c r="E5" s="55" t="s">
        <v>1</v>
      </c>
      <c r="F5" s="56" t="s">
        <v>31</v>
      </c>
      <c r="G5" s="56"/>
      <c r="H5" s="56"/>
      <c r="I5" s="56"/>
      <c r="J5" s="56"/>
      <c r="K5" s="56"/>
      <c r="L5" s="56"/>
      <c r="M5" s="56"/>
      <c r="N5" s="56"/>
      <c r="O5" s="57" t="s">
        <v>20</v>
      </c>
      <c r="P5" s="57" t="s">
        <v>19</v>
      </c>
      <c r="Q5" s="57" t="s">
        <v>18</v>
      </c>
      <c r="R5" s="52" t="s">
        <v>21</v>
      </c>
      <c r="S5" s="52" t="s">
        <v>2</v>
      </c>
      <c r="T5" s="58"/>
      <c r="U5" s="59" t="s">
        <v>8</v>
      </c>
      <c r="V5" s="60"/>
      <c r="W5" s="60"/>
      <c r="X5" s="60"/>
      <c r="Y5" s="60"/>
      <c r="Z5" s="61"/>
      <c r="AA5" s="62"/>
      <c r="AB5" s="59" t="s">
        <v>8</v>
      </c>
      <c r="AC5" s="60"/>
      <c r="AD5" s="60"/>
      <c r="AE5" s="60"/>
      <c r="AF5" s="60"/>
      <c r="AG5" s="61"/>
      <c r="AH5" s="63"/>
      <c r="AI5" s="63"/>
      <c r="AJ5" s="63"/>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row>
    <row r="6" spans="1:75" s="85" customFormat="1" ht="28.5" customHeight="1" thickBot="1" x14ac:dyDescent="0.25">
      <c r="A6" s="66" t="s">
        <v>44</v>
      </c>
      <c r="B6" s="66" t="s">
        <v>33</v>
      </c>
      <c r="C6" s="66" t="s">
        <v>34</v>
      </c>
      <c r="D6" s="67" t="s">
        <v>68</v>
      </c>
      <c r="E6" s="68" t="s">
        <v>66</v>
      </c>
      <c r="F6" s="69" t="s">
        <v>3</v>
      </c>
      <c r="G6" s="69" t="s">
        <v>4</v>
      </c>
      <c r="H6" s="69" t="s">
        <v>5</v>
      </c>
      <c r="I6" s="69" t="s">
        <v>7</v>
      </c>
      <c r="J6" s="69" t="s">
        <v>6</v>
      </c>
      <c r="K6" s="69" t="s">
        <v>49</v>
      </c>
      <c r="L6" s="69" t="s">
        <v>30</v>
      </c>
      <c r="M6" s="70" t="s">
        <v>46</v>
      </c>
      <c r="N6" s="69" t="s">
        <v>5</v>
      </c>
      <c r="O6" s="71" t="s">
        <v>39</v>
      </c>
      <c r="P6" s="72" t="s">
        <v>23</v>
      </c>
      <c r="Q6" s="72" t="s">
        <v>22</v>
      </c>
      <c r="R6" s="72" t="s">
        <v>24</v>
      </c>
      <c r="S6" s="72" t="s">
        <v>40</v>
      </c>
      <c r="T6" s="73"/>
      <c r="U6" s="74" t="s">
        <v>32</v>
      </c>
      <c r="V6" s="75"/>
      <c r="W6" s="76">
        <v>2.5000000000000001E-2</v>
      </c>
      <c r="X6" s="77"/>
      <c r="Y6" s="74"/>
      <c r="Z6" s="75"/>
      <c r="AA6" s="78"/>
      <c r="AB6" s="79" t="s">
        <v>32</v>
      </c>
      <c r="AC6" s="80"/>
      <c r="AD6" s="81"/>
      <c r="AE6" s="82"/>
      <c r="AF6" s="79"/>
      <c r="AG6" s="80"/>
      <c r="AH6" s="83"/>
      <c r="AI6" s="83"/>
      <c r="AJ6" s="83"/>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row>
    <row r="7" spans="1:75" s="85" customFormat="1" ht="39" customHeight="1" thickBot="1" x14ac:dyDescent="0.25">
      <c r="A7" s="86"/>
      <c r="B7" s="86"/>
      <c r="C7" s="86"/>
      <c r="D7" s="87"/>
      <c r="E7" s="88"/>
      <c r="F7" s="69" t="s">
        <v>45</v>
      </c>
      <c r="G7" s="69" t="s">
        <v>35</v>
      </c>
      <c r="H7" s="69" t="s">
        <v>36</v>
      </c>
      <c r="I7" s="69" t="s">
        <v>37</v>
      </c>
      <c r="J7" s="69" t="s">
        <v>52</v>
      </c>
      <c r="K7" s="69" t="s">
        <v>48</v>
      </c>
      <c r="L7" s="69" t="s">
        <v>38</v>
      </c>
      <c r="M7" s="70" t="s">
        <v>53</v>
      </c>
      <c r="N7" s="69" t="s">
        <v>36</v>
      </c>
      <c r="O7" s="89"/>
      <c r="P7" s="90"/>
      <c r="Q7" s="90"/>
      <c r="R7" s="90"/>
      <c r="S7" s="90"/>
      <c r="T7" s="73"/>
      <c r="U7" s="91" t="s">
        <v>47</v>
      </c>
      <c r="V7" s="91" t="s">
        <v>12</v>
      </c>
      <c r="W7" s="91" t="s">
        <v>13</v>
      </c>
      <c r="X7" s="91" t="s">
        <v>14</v>
      </c>
      <c r="Y7" s="91" t="s">
        <v>15</v>
      </c>
      <c r="Z7" s="92" t="s">
        <v>16</v>
      </c>
      <c r="AA7" s="78"/>
      <c r="AB7" s="93" t="s">
        <v>47</v>
      </c>
      <c r="AC7" s="93" t="s">
        <v>12</v>
      </c>
      <c r="AD7" s="93" t="s">
        <v>13</v>
      </c>
      <c r="AE7" s="93" t="s">
        <v>14</v>
      </c>
      <c r="AF7" s="93" t="s">
        <v>15</v>
      </c>
      <c r="AG7" s="94" t="s">
        <v>16</v>
      </c>
      <c r="AH7" s="83"/>
      <c r="AI7" s="83"/>
      <c r="AJ7" s="83"/>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row>
    <row r="8" spans="1:75" s="105" customFormat="1" ht="93" customHeight="1" x14ac:dyDescent="0.2">
      <c r="A8" s="95" t="s">
        <v>131</v>
      </c>
      <c r="B8" s="95" t="s">
        <v>64</v>
      </c>
      <c r="C8" s="95" t="s">
        <v>65</v>
      </c>
      <c r="D8" s="95"/>
      <c r="E8" s="95" t="s">
        <v>86</v>
      </c>
      <c r="F8" s="96" t="s">
        <v>113</v>
      </c>
      <c r="G8" s="97" t="s">
        <v>91</v>
      </c>
      <c r="H8" s="97" t="s">
        <v>67</v>
      </c>
      <c r="I8" s="97"/>
      <c r="J8" s="97"/>
      <c r="K8" s="97"/>
      <c r="L8" s="97"/>
      <c r="M8" s="98"/>
      <c r="N8" s="97"/>
      <c r="O8" s="99">
        <v>0</v>
      </c>
      <c r="P8" s="99">
        <v>0</v>
      </c>
      <c r="Q8" s="99">
        <v>0</v>
      </c>
      <c r="R8" s="99">
        <v>0</v>
      </c>
      <c r="S8" s="100">
        <f>I8*M8*(1-O8)*(1-P8)*(1-Q8)</f>
        <v>0</v>
      </c>
      <c r="T8" s="101"/>
      <c r="U8" s="12">
        <f>IF(K8=1,AB8,0)</f>
        <v>0</v>
      </c>
      <c r="V8" s="12">
        <f t="shared" ref="V8" si="0">IF(K8=1,AC8, AB8)</f>
        <v>0</v>
      </c>
      <c r="W8" s="12">
        <f t="shared" ref="W8" si="1">AD8</f>
        <v>0</v>
      </c>
      <c r="X8" s="12">
        <f>AE8</f>
        <v>0</v>
      </c>
      <c r="Y8" s="12">
        <f t="shared" ref="Y8" si="2">AF8</f>
        <v>0</v>
      </c>
      <c r="Z8" s="12">
        <f t="shared" ref="Z8" si="3">AG8</f>
        <v>0</v>
      </c>
      <c r="AA8" s="102"/>
      <c r="AB8" s="12">
        <f>IF(J8&gt;=0,S8,0)</f>
        <v>0</v>
      </c>
      <c r="AC8" s="12">
        <f t="shared" ref="AC8" si="4">IF(J8&gt;=1,S8,0)</f>
        <v>0</v>
      </c>
      <c r="AD8" s="12">
        <f>IF(J8&gt;1,AC8,0)*(1-R8)</f>
        <v>0</v>
      </c>
      <c r="AE8" s="12">
        <f t="shared" ref="AE8" si="5">IF(J8&gt;2,AD8,0)*(1-R8)</f>
        <v>0</v>
      </c>
      <c r="AF8" s="12">
        <f>IF(J8&gt;3,AE8,0)*(1-R8)</f>
        <v>0</v>
      </c>
      <c r="AG8" s="12">
        <f>IF(J8&gt;4,AF8,0)*(1-R8)</f>
        <v>0</v>
      </c>
      <c r="AH8" s="103"/>
      <c r="AI8" s="103"/>
      <c r="AJ8" s="103"/>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row>
    <row r="9" spans="1:75" s="105" customFormat="1" ht="25.5" x14ac:dyDescent="0.2">
      <c r="A9" s="106"/>
      <c r="B9" s="106"/>
      <c r="C9" s="106"/>
      <c r="D9" s="106"/>
      <c r="E9" s="106"/>
      <c r="F9" s="96" t="s">
        <v>119</v>
      </c>
      <c r="G9" s="97" t="s">
        <v>87</v>
      </c>
      <c r="H9" s="97" t="s">
        <v>62</v>
      </c>
      <c r="I9" s="107">
        <v>1</v>
      </c>
      <c r="J9" s="107">
        <v>1</v>
      </c>
      <c r="K9" s="97">
        <v>2</v>
      </c>
      <c r="L9" s="97" t="s">
        <v>89</v>
      </c>
      <c r="M9" s="98">
        <v>600000</v>
      </c>
      <c r="N9" s="97" t="s">
        <v>88</v>
      </c>
      <c r="O9" s="99">
        <v>0</v>
      </c>
      <c r="P9" s="99">
        <v>0</v>
      </c>
      <c r="Q9" s="99">
        <v>0</v>
      </c>
      <c r="R9" s="99">
        <v>0</v>
      </c>
      <c r="S9" s="100">
        <f t="shared" ref="S9:S22" si="6">I9*M9*(1-O9)*(1-P9)*(1-Q9)</f>
        <v>600000</v>
      </c>
      <c r="T9" s="101"/>
      <c r="U9" s="12">
        <f t="shared" ref="U9:U25" si="7">IF(K9=1,AB9,0)</f>
        <v>0</v>
      </c>
      <c r="V9" s="12">
        <f t="shared" ref="V9:V25" si="8">IF(K9=1,AC9, AB9)</f>
        <v>600000</v>
      </c>
      <c r="W9" s="12">
        <f t="shared" ref="W9:W25" si="9">AD9</f>
        <v>0</v>
      </c>
      <c r="X9" s="12">
        <f t="shared" ref="X9:X25" si="10">AE9</f>
        <v>0</v>
      </c>
      <c r="Y9" s="12">
        <f t="shared" ref="Y9:Y25" si="11">AF9</f>
        <v>0</v>
      </c>
      <c r="Z9" s="12">
        <f t="shared" ref="Z9:Z25" si="12">AG9</f>
        <v>0</v>
      </c>
      <c r="AA9" s="102"/>
      <c r="AB9" s="12">
        <f t="shared" ref="AB9:AB25" si="13">IF(J9&gt;=0,S9,0)</f>
        <v>600000</v>
      </c>
      <c r="AC9" s="12">
        <f t="shared" ref="AC9:AC25" si="14">IF(J9&gt;=1,S9,0)</f>
        <v>600000</v>
      </c>
      <c r="AD9" s="12">
        <f t="shared" ref="AD9:AD25" si="15">IF(J9&gt;1,AC9,0)*(1-R9)</f>
        <v>0</v>
      </c>
      <c r="AE9" s="12">
        <f t="shared" ref="AE9:AE25" si="16">IF(J9&gt;2,AD9,0)*(1-R9)</f>
        <v>0</v>
      </c>
      <c r="AF9" s="12">
        <f t="shared" ref="AF9:AF25" si="17">IF(J9&gt;3,AE9,0)*(1-R9)</f>
        <v>0</v>
      </c>
      <c r="AG9" s="12">
        <f t="shared" ref="AG9:AG25" si="18">IF(J9&gt;4,AF9,0)*(1-R9)</f>
        <v>0</v>
      </c>
      <c r="AH9" s="103"/>
      <c r="AI9" s="103"/>
      <c r="AJ9" s="103"/>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c r="BW9" s="104"/>
    </row>
    <row r="10" spans="1:75" s="105" customFormat="1" ht="38.25" x14ac:dyDescent="0.2">
      <c r="A10" s="106"/>
      <c r="B10" s="106"/>
      <c r="C10" s="106"/>
      <c r="D10" s="106"/>
      <c r="E10" s="106"/>
      <c r="F10" s="96" t="s">
        <v>120</v>
      </c>
      <c r="G10" s="97" t="s">
        <v>90</v>
      </c>
      <c r="H10" s="97" t="s">
        <v>62</v>
      </c>
      <c r="I10" s="107">
        <v>2</v>
      </c>
      <c r="J10" s="107">
        <v>2</v>
      </c>
      <c r="K10" s="107">
        <v>2</v>
      </c>
      <c r="L10" s="107" t="s">
        <v>93</v>
      </c>
      <c r="M10" s="108">
        <f>20*8*4*7.25</f>
        <v>4640</v>
      </c>
      <c r="N10" s="97" t="s">
        <v>105</v>
      </c>
      <c r="O10" s="99">
        <v>0</v>
      </c>
      <c r="P10" s="99">
        <v>0</v>
      </c>
      <c r="Q10" s="99">
        <v>0</v>
      </c>
      <c r="R10" s="99">
        <v>0</v>
      </c>
      <c r="S10" s="100">
        <f t="shared" si="6"/>
        <v>9280</v>
      </c>
      <c r="T10" s="101"/>
      <c r="U10" s="12">
        <f t="shared" si="7"/>
        <v>0</v>
      </c>
      <c r="V10" s="12">
        <f t="shared" si="8"/>
        <v>9280</v>
      </c>
      <c r="W10" s="12">
        <f t="shared" si="9"/>
        <v>9280</v>
      </c>
      <c r="X10" s="12">
        <f t="shared" si="10"/>
        <v>0</v>
      </c>
      <c r="Y10" s="12">
        <f t="shared" si="11"/>
        <v>0</v>
      </c>
      <c r="Z10" s="12">
        <f t="shared" si="12"/>
        <v>0</v>
      </c>
      <c r="AA10" s="102"/>
      <c r="AB10" s="12">
        <f t="shared" si="13"/>
        <v>9280</v>
      </c>
      <c r="AC10" s="12">
        <f t="shared" si="14"/>
        <v>9280</v>
      </c>
      <c r="AD10" s="12">
        <f t="shared" si="15"/>
        <v>9280</v>
      </c>
      <c r="AE10" s="12">
        <f t="shared" si="16"/>
        <v>0</v>
      </c>
      <c r="AF10" s="12">
        <f t="shared" si="17"/>
        <v>0</v>
      </c>
      <c r="AG10" s="12">
        <f t="shared" si="18"/>
        <v>0</v>
      </c>
      <c r="AH10" s="103"/>
      <c r="AI10" s="103"/>
      <c r="AJ10" s="103"/>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row>
    <row r="11" spans="1:75" s="105" customFormat="1" ht="39.75" customHeight="1" x14ac:dyDescent="0.2">
      <c r="A11" s="106"/>
      <c r="B11" s="106"/>
      <c r="C11" s="106"/>
      <c r="D11" s="106"/>
      <c r="E11" s="106"/>
      <c r="F11" s="96" t="s">
        <v>121</v>
      </c>
      <c r="G11" s="96" t="s">
        <v>92</v>
      </c>
      <c r="H11" s="97" t="s">
        <v>62</v>
      </c>
      <c r="I11" s="107">
        <v>2</v>
      </c>
      <c r="J11" s="107">
        <v>2</v>
      </c>
      <c r="K11" s="107">
        <v>2</v>
      </c>
      <c r="L11" s="107" t="s">
        <v>107</v>
      </c>
      <c r="M11" s="108">
        <f>65000+20150</f>
        <v>85150</v>
      </c>
      <c r="N11" s="97" t="s">
        <v>105</v>
      </c>
      <c r="O11" s="99">
        <v>0</v>
      </c>
      <c r="P11" s="99">
        <v>0</v>
      </c>
      <c r="Q11" s="99">
        <v>0</v>
      </c>
      <c r="R11" s="99">
        <v>0</v>
      </c>
      <c r="S11" s="100">
        <f t="shared" ref="S11" si="19">I11*M11*(1-O11)*(1-P11)*(1-Q11)</f>
        <v>170300</v>
      </c>
      <c r="T11" s="101"/>
      <c r="U11" s="12">
        <f t="shared" ref="U11" si="20">IF(K11=1,AB11,0)</f>
        <v>0</v>
      </c>
      <c r="V11" s="12">
        <f t="shared" ref="V11" si="21">IF(K11=1,AC11, AB11)</f>
        <v>170300</v>
      </c>
      <c r="W11" s="12">
        <f t="shared" ref="W11" si="22">AD11</f>
        <v>170300</v>
      </c>
      <c r="X11" s="12">
        <f t="shared" ref="X11" si="23">AE11</f>
        <v>0</v>
      </c>
      <c r="Y11" s="12">
        <f t="shared" ref="Y11" si="24">AF11</f>
        <v>0</v>
      </c>
      <c r="Z11" s="12">
        <f t="shared" ref="Z11" si="25">AG11</f>
        <v>0</v>
      </c>
      <c r="AA11" s="102"/>
      <c r="AB11" s="12">
        <f t="shared" ref="AB11" si="26">IF(J11&gt;=0,S11,0)</f>
        <v>170300</v>
      </c>
      <c r="AC11" s="12">
        <f t="shared" ref="AC11" si="27">IF(J11&gt;=1,S11,0)</f>
        <v>170300</v>
      </c>
      <c r="AD11" s="12">
        <f t="shared" ref="AD11" si="28">IF(J11&gt;1,AC11,0)*(1-R11)</f>
        <v>170300</v>
      </c>
      <c r="AE11" s="12">
        <f t="shared" ref="AE11" si="29">IF(J11&gt;2,AD11,0)*(1-R11)</f>
        <v>0</v>
      </c>
      <c r="AF11" s="12">
        <f t="shared" ref="AF11" si="30">IF(J11&gt;3,AE11,0)*(1-R11)</f>
        <v>0</v>
      </c>
      <c r="AG11" s="12">
        <f t="shared" ref="AG11" si="31">IF(J11&gt;4,AF11,0)*(1-R11)</f>
        <v>0</v>
      </c>
      <c r="AH11" s="103"/>
      <c r="AI11" s="103"/>
      <c r="AJ11" s="103"/>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c r="BW11" s="104"/>
    </row>
    <row r="12" spans="1:75" s="105" customFormat="1" ht="40.5" customHeight="1" x14ac:dyDescent="0.2">
      <c r="A12" s="109"/>
      <c r="B12" s="109"/>
      <c r="C12" s="109"/>
      <c r="D12" s="109"/>
      <c r="E12" s="109"/>
      <c r="F12" s="96" t="s">
        <v>122</v>
      </c>
      <c r="G12" s="96" t="s">
        <v>125</v>
      </c>
      <c r="H12" s="97" t="s">
        <v>62</v>
      </c>
      <c r="I12" s="107">
        <v>3</v>
      </c>
      <c r="J12" s="107">
        <v>3</v>
      </c>
      <c r="K12" s="107">
        <v>2</v>
      </c>
      <c r="L12" s="107" t="s">
        <v>107</v>
      </c>
      <c r="M12" s="108">
        <f>45000+13950</f>
        <v>58950</v>
      </c>
      <c r="N12" s="97" t="s">
        <v>105</v>
      </c>
      <c r="O12" s="99">
        <v>0</v>
      </c>
      <c r="P12" s="99">
        <v>0</v>
      </c>
      <c r="Q12" s="99">
        <v>0.5</v>
      </c>
      <c r="R12" s="99">
        <v>0</v>
      </c>
      <c r="S12" s="100">
        <f t="shared" si="6"/>
        <v>88425</v>
      </c>
      <c r="T12" s="101"/>
      <c r="U12" s="12">
        <f t="shared" si="7"/>
        <v>0</v>
      </c>
      <c r="V12" s="12">
        <f t="shared" si="8"/>
        <v>88425</v>
      </c>
      <c r="W12" s="12">
        <f t="shared" si="9"/>
        <v>88425</v>
      </c>
      <c r="X12" s="12">
        <f t="shared" si="10"/>
        <v>88425</v>
      </c>
      <c r="Y12" s="12">
        <f t="shared" si="11"/>
        <v>0</v>
      </c>
      <c r="Z12" s="12">
        <f t="shared" si="12"/>
        <v>0</v>
      </c>
      <c r="AA12" s="102"/>
      <c r="AB12" s="12">
        <f t="shared" si="13"/>
        <v>88425</v>
      </c>
      <c r="AC12" s="12">
        <f t="shared" si="14"/>
        <v>88425</v>
      </c>
      <c r="AD12" s="12">
        <f t="shared" si="15"/>
        <v>88425</v>
      </c>
      <c r="AE12" s="12">
        <f t="shared" si="16"/>
        <v>88425</v>
      </c>
      <c r="AF12" s="12">
        <f t="shared" si="17"/>
        <v>0</v>
      </c>
      <c r="AG12" s="12">
        <f t="shared" si="18"/>
        <v>0</v>
      </c>
      <c r="AH12" s="103"/>
      <c r="AI12" s="103"/>
      <c r="AJ12" s="103"/>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c r="BW12" s="104"/>
    </row>
    <row r="13" spans="1:75" s="105" customFormat="1" ht="132" customHeight="1" x14ac:dyDescent="0.2">
      <c r="A13" s="95" t="s">
        <v>132</v>
      </c>
      <c r="B13" s="110" t="s">
        <v>60</v>
      </c>
      <c r="C13" s="110" t="s">
        <v>61</v>
      </c>
      <c r="D13" s="110"/>
      <c r="E13" s="95" t="s">
        <v>63</v>
      </c>
      <c r="F13" s="96" t="s">
        <v>114</v>
      </c>
      <c r="G13" s="111" t="s">
        <v>95</v>
      </c>
      <c r="H13" s="96" t="s">
        <v>62</v>
      </c>
      <c r="I13" s="96"/>
      <c r="J13" s="96"/>
      <c r="K13" s="96"/>
      <c r="L13" s="96"/>
      <c r="M13" s="100"/>
      <c r="N13" s="96"/>
      <c r="O13" s="99">
        <v>0</v>
      </c>
      <c r="P13" s="99">
        <v>0</v>
      </c>
      <c r="Q13" s="99">
        <v>0</v>
      </c>
      <c r="R13" s="99">
        <v>0</v>
      </c>
      <c r="S13" s="100">
        <f t="shared" si="6"/>
        <v>0</v>
      </c>
      <c r="T13" s="101"/>
      <c r="U13" s="12">
        <f t="shared" si="7"/>
        <v>0</v>
      </c>
      <c r="V13" s="12">
        <f t="shared" si="8"/>
        <v>0</v>
      </c>
      <c r="W13" s="12">
        <f t="shared" si="9"/>
        <v>0</v>
      </c>
      <c r="X13" s="12">
        <f t="shared" si="10"/>
        <v>0</v>
      </c>
      <c r="Y13" s="12">
        <f t="shared" si="11"/>
        <v>0</v>
      </c>
      <c r="Z13" s="12">
        <f t="shared" si="12"/>
        <v>0</v>
      </c>
      <c r="AA13" s="102"/>
      <c r="AB13" s="12">
        <f t="shared" si="13"/>
        <v>0</v>
      </c>
      <c r="AC13" s="12">
        <f t="shared" si="14"/>
        <v>0</v>
      </c>
      <c r="AD13" s="12">
        <f t="shared" si="15"/>
        <v>0</v>
      </c>
      <c r="AE13" s="12">
        <f t="shared" si="16"/>
        <v>0</v>
      </c>
      <c r="AF13" s="12">
        <f t="shared" si="17"/>
        <v>0</v>
      </c>
      <c r="AG13" s="12">
        <f t="shared" si="18"/>
        <v>0</v>
      </c>
      <c r="AH13" s="103"/>
      <c r="AI13" s="103"/>
      <c r="AJ13" s="103"/>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row>
    <row r="14" spans="1:75" s="105" customFormat="1" ht="38.25" x14ac:dyDescent="0.2">
      <c r="A14" s="109"/>
      <c r="B14" s="112"/>
      <c r="C14" s="112"/>
      <c r="D14" s="112"/>
      <c r="E14" s="109"/>
      <c r="F14" s="96" t="s">
        <v>123</v>
      </c>
      <c r="G14" s="111" t="s">
        <v>94</v>
      </c>
      <c r="H14" s="96" t="s">
        <v>62</v>
      </c>
      <c r="I14" s="96">
        <v>2</v>
      </c>
      <c r="J14" s="96">
        <v>1</v>
      </c>
      <c r="K14" s="97">
        <v>2</v>
      </c>
      <c r="L14" s="96" t="s">
        <v>96</v>
      </c>
      <c r="M14" s="98">
        <f>2217000-3500000</f>
        <v>-1283000</v>
      </c>
      <c r="N14" s="97" t="s">
        <v>97</v>
      </c>
      <c r="O14" s="99">
        <v>0</v>
      </c>
      <c r="P14" s="99">
        <v>0</v>
      </c>
      <c r="Q14" s="99">
        <v>0.25</v>
      </c>
      <c r="R14" s="99">
        <v>0</v>
      </c>
      <c r="S14" s="100">
        <f t="shared" si="6"/>
        <v>-1924500</v>
      </c>
      <c r="T14" s="101"/>
      <c r="U14" s="12">
        <f t="shared" si="7"/>
        <v>0</v>
      </c>
      <c r="V14" s="12">
        <f t="shared" si="8"/>
        <v>-1924500</v>
      </c>
      <c r="W14" s="12">
        <f t="shared" si="9"/>
        <v>0</v>
      </c>
      <c r="X14" s="12">
        <f t="shared" si="10"/>
        <v>0</v>
      </c>
      <c r="Y14" s="12">
        <f t="shared" si="11"/>
        <v>0</v>
      </c>
      <c r="Z14" s="12">
        <f t="shared" si="12"/>
        <v>0</v>
      </c>
      <c r="AA14" s="102"/>
      <c r="AB14" s="12">
        <f t="shared" si="13"/>
        <v>-1924500</v>
      </c>
      <c r="AC14" s="12">
        <f t="shared" si="14"/>
        <v>-1924500</v>
      </c>
      <c r="AD14" s="12">
        <f t="shared" si="15"/>
        <v>0</v>
      </c>
      <c r="AE14" s="12">
        <f t="shared" si="16"/>
        <v>0</v>
      </c>
      <c r="AF14" s="12">
        <f t="shared" si="17"/>
        <v>0</v>
      </c>
      <c r="AG14" s="12">
        <f t="shared" si="18"/>
        <v>0</v>
      </c>
      <c r="AH14" s="103"/>
      <c r="AI14" s="103"/>
      <c r="AJ14" s="103"/>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row>
    <row r="15" spans="1:75" s="105" customFormat="1" ht="138.75" customHeight="1" x14ac:dyDescent="0.2">
      <c r="A15" s="96" t="s">
        <v>133</v>
      </c>
      <c r="B15" s="96" t="s">
        <v>69</v>
      </c>
      <c r="C15" s="96" t="s">
        <v>74</v>
      </c>
      <c r="D15" s="96"/>
      <c r="E15" s="96" t="s">
        <v>70</v>
      </c>
      <c r="F15" s="113" t="s">
        <v>115</v>
      </c>
      <c r="G15" s="114" t="s">
        <v>83</v>
      </c>
      <c r="H15" s="96" t="s">
        <v>84</v>
      </c>
      <c r="I15" s="96"/>
      <c r="J15" s="96"/>
      <c r="K15" s="97"/>
      <c r="L15" s="96"/>
      <c r="M15" s="100"/>
      <c r="N15" s="96"/>
      <c r="O15" s="99">
        <v>0</v>
      </c>
      <c r="P15" s="99">
        <v>0</v>
      </c>
      <c r="Q15" s="99">
        <v>0</v>
      </c>
      <c r="R15" s="99">
        <v>0</v>
      </c>
      <c r="S15" s="100">
        <f t="shared" si="6"/>
        <v>0</v>
      </c>
      <c r="T15" s="101"/>
      <c r="U15" s="12">
        <f t="shared" si="7"/>
        <v>0</v>
      </c>
      <c r="V15" s="12">
        <f t="shared" si="8"/>
        <v>0</v>
      </c>
      <c r="W15" s="12">
        <f t="shared" si="9"/>
        <v>0</v>
      </c>
      <c r="X15" s="12">
        <f t="shared" si="10"/>
        <v>0</v>
      </c>
      <c r="Y15" s="12">
        <f t="shared" si="11"/>
        <v>0</v>
      </c>
      <c r="Z15" s="12">
        <f t="shared" si="12"/>
        <v>0</v>
      </c>
      <c r="AA15" s="102"/>
      <c r="AB15" s="12">
        <f t="shared" si="13"/>
        <v>0</v>
      </c>
      <c r="AC15" s="12">
        <f t="shared" si="14"/>
        <v>0</v>
      </c>
      <c r="AD15" s="12">
        <f t="shared" si="15"/>
        <v>0</v>
      </c>
      <c r="AE15" s="12">
        <f t="shared" si="16"/>
        <v>0</v>
      </c>
      <c r="AF15" s="12">
        <f t="shared" si="17"/>
        <v>0</v>
      </c>
      <c r="AG15" s="12">
        <f t="shared" si="18"/>
        <v>0</v>
      </c>
      <c r="AH15" s="103"/>
      <c r="AI15" s="103"/>
      <c r="AJ15" s="103"/>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row>
    <row r="16" spans="1:75" s="105" customFormat="1" ht="165" customHeight="1" x14ac:dyDescent="0.2">
      <c r="A16" s="95" t="s">
        <v>134</v>
      </c>
      <c r="B16" s="95" t="s">
        <v>73</v>
      </c>
      <c r="C16" s="95" t="s">
        <v>74</v>
      </c>
      <c r="D16" s="115"/>
      <c r="E16" s="116" t="s">
        <v>81</v>
      </c>
      <c r="F16" s="117" t="s">
        <v>118</v>
      </c>
      <c r="G16" s="118" t="s">
        <v>104</v>
      </c>
      <c r="H16" s="118" t="s">
        <v>82</v>
      </c>
      <c r="I16" s="96"/>
      <c r="J16" s="111"/>
      <c r="K16" s="96"/>
      <c r="L16" s="117"/>
      <c r="M16" s="119"/>
      <c r="N16" s="96"/>
      <c r="O16" s="99">
        <v>0</v>
      </c>
      <c r="P16" s="99">
        <v>0</v>
      </c>
      <c r="Q16" s="99">
        <v>0</v>
      </c>
      <c r="R16" s="99">
        <v>0</v>
      </c>
      <c r="S16" s="100">
        <f t="shared" si="6"/>
        <v>0</v>
      </c>
      <c r="T16" s="101"/>
      <c r="U16" s="12">
        <f t="shared" si="7"/>
        <v>0</v>
      </c>
      <c r="V16" s="12">
        <f t="shared" si="8"/>
        <v>0</v>
      </c>
      <c r="W16" s="12">
        <f t="shared" si="9"/>
        <v>0</v>
      </c>
      <c r="X16" s="12">
        <f t="shared" si="10"/>
        <v>0</v>
      </c>
      <c r="Y16" s="12">
        <f t="shared" si="11"/>
        <v>0</v>
      </c>
      <c r="Z16" s="12">
        <f t="shared" si="12"/>
        <v>0</v>
      </c>
      <c r="AA16" s="102"/>
      <c r="AB16" s="12">
        <f t="shared" si="13"/>
        <v>0</v>
      </c>
      <c r="AC16" s="12">
        <f t="shared" si="14"/>
        <v>0</v>
      </c>
      <c r="AD16" s="12">
        <f t="shared" si="15"/>
        <v>0</v>
      </c>
      <c r="AE16" s="12">
        <f t="shared" si="16"/>
        <v>0</v>
      </c>
      <c r="AF16" s="12">
        <f t="shared" si="17"/>
        <v>0</v>
      </c>
      <c r="AG16" s="12">
        <f t="shared" si="18"/>
        <v>0</v>
      </c>
      <c r="AH16" s="103"/>
      <c r="AI16" s="103"/>
      <c r="AJ16" s="103"/>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row>
    <row r="17" spans="1:75" s="105" customFormat="1" ht="27" customHeight="1" x14ac:dyDescent="0.2">
      <c r="A17" s="106"/>
      <c r="B17" s="106"/>
      <c r="C17" s="106"/>
      <c r="D17" s="120"/>
      <c r="E17" s="121"/>
      <c r="F17" s="122" t="s">
        <v>124</v>
      </c>
      <c r="G17" s="123" t="s">
        <v>98</v>
      </c>
      <c r="H17" s="123" t="s">
        <v>99</v>
      </c>
      <c r="I17" s="124">
        <v>12</v>
      </c>
      <c r="J17" s="111">
        <v>1</v>
      </c>
      <c r="K17" s="125">
        <v>2</v>
      </c>
      <c r="L17" s="123" t="s">
        <v>108</v>
      </c>
      <c r="M17" s="126">
        <f>1304000-973000</f>
        <v>331000</v>
      </c>
      <c r="N17" s="97" t="s">
        <v>97</v>
      </c>
      <c r="O17" s="99">
        <v>1</v>
      </c>
      <c r="P17" s="99">
        <v>0</v>
      </c>
      <c r="Q17" s="127">
        <v>0</v>
      </c>
      <c r="R17" s="99">
        <v>0</v>
      </c>
      <c r="S17" s="100">
        <f t="shared" si="6"/>
        <v>0</v>
      </c>
      <c r="T17" s="101"/>
      <c r="U17" s="12">
        <f t="shared" si="7"/>
        <v>0</v>
      </c>
      <c r="V17" s="12">
        <f t="shared" si="8"/>
        <v>0</v>
      </c>
      <c r="W17" s="12">
        <f t="shared" si="9"/>
        <v>0</v>
      </c>
      <c r="X17" s="12">
        <f t="shared" si="10"/>
        <v>0</v>
      </c>
      <c r="Y17" s="12">
        <f t="shared" si="11"/>
        <v>0</v>
      </c>
      <c r="Z17" s="12">
        <f t="shared" si="12"/>
        <v>0</v>
      </c>
      <c r="AA17" s="102"/>
      <c r="AB17" s="12">
        <f t="shared" si="13"/>
        <v>0</v>
      </c>
      <c r="AC17" s="12">
        <f t="shared" si="14"/>
        <v>0</v>
      </c>
      <c r="AD17" s="12">
        <f t="shared" si="15"/>
        <v>0</v>
      </c>
      <c r="AE17" s="12">
        <f t="shared" si="16"/>
        <v>0</v>
      </c>
      <c r="AF17" s="12">
        <f t="shared" si="17"/>
        <v>0</v>
      </c>
      <c r="AG17" s="12">
        <f t="shared" si="18"/>
        <v>0</v>
      </c>
      <c r="AH17" s="103"/>
      <c r="AI17" s="103"/>
      <c r="AJ17" s="103"/>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row>
    <row r="18" spans="1:75" s="105" customFormat="1" ht="38.25" x14ac:dyDescent="0.2">
      <c r="A18" s="106"/>
      <c r="B18" s="106"/>
      <c r="C18" s="106"/>
      <c r="D18" s="120"/>
      <c r="E18" s="121"/>
      <c r="F18" s="122"/>
      <c r="G18" s="123" t="s">
        <v>100</v>
      </c>
      <c r="H18" s="123" t="s">
        <v>99</v>
      </c>
      <c r="I18" s="124">
        <v>16</v>
      </c>
      <c r="J18" s="111">
        <v>1</v>
      </c>
      <c r="K18" s="125">
        <v>2</v>
      </c>
      <c r="L18" s="123" t="s">
        <v>109</v>
      </c>
      <c r="M18" s="126">
        <f>1727000-1304000-9400</f>
        <v>413600</v>
      </c>
      <c r="N18" s="97" t="s">
        <v>97</v>
      </c>
      <c r="O18" s="99">
        <v>0.88</v>
      </c>
      <c r="P18" s="99">
        <v>0</v>
      </c>
      <c r="Q18" s="127">
        <v>0.75</v>
      </c>
      <c r="R18" s="99">
        <v>0</v>
      </c>
      <c r="S18" s="100">
        <f t="shared" si="6"/>
        <v>198528</v>
      </c>
      <c r="T18" s="101"/>
      <c r="U18" s="12">
        <f t="shared" si="7"/>
        <v>0</v>
      </c>
      <c r="V18" s="12">
        <f t="shared" si="8"/>
        <v>198528</v>
      </c>
      <c r="W18" s="12">
        <f t="shared" si="9"/>
        <v>0</v>
      </c>
      <c r="X18" s="12">
        <f t="shared" si="10"/>
        <v>0</v>
      </c>
      <c r="Y18" s="12">
        <f t="shared" si="11"/>
        <v>0</v>
      </c>
      <c r="Z18" s="12">
        <f t="shared" si="12"/>
        <v>0</v>
      </c>
      <c r="AA18" s="102"/>
      <c r="AB18" s="12">
        <f t="shared" si="13"/>
        <v>198528</v>
      </c>
      <c r="AC18" s="12">
        <f t="shared" si="14"/>
        <v>198528</v>
      </c>
      <c r="AD18" s="12">
        <f t="shared" si="15"/>
        <v>0</v>
      </c>
      <c r="AE18" s="12">
        <f t="shared" si="16"/>
        <v>0</v>
      </c>
      <c r="AF18" s="12">
        <f t="shared" si="17"/>
        <v>0</v>
      </c>
      <c r="AG18" s="12">
        <f t="shared" si="18"/>
        <v>0</v>
      </c>
      <c r="AH18" s="103"/>
      <c r="AI18" s="103"/>
      <c r="AJ18" s="103"/>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row>
    <row r="19" spans="1:75" s="105" customFormat="1" ht="36" customHeight="1" x14ac:dyDescent="0.2">
      <c r="A19" s="106"/>
      <c r="B19" s="106"/>
      <c r="C19" s="106"/>
      <c r="D19" s="120"/>
      <c r="E19" s="121"/>
      <c r="F19" s="122"/>
      <c r="G19" s="123" t="s">
        <v>101</v>
      </c>
      <c r="H19" s="123" t="s">
        <v>99</v>
      </c>
      <c r="I19" s="124">
        <v>49</v>
      </c>
      <c r="J19" s="111">
        <v>1</v>
      </c>
      <c r="K19" s="125">
        <v>2</v>
      </c>
      <c r="L19" s="123" t="s">
        <v>110</v>
      </c>
      <c r="M19" s="126">
        <f>2268000-1727000-43200</f>
        <v>497800</v>
      </c>
      <c r="N19" s="97" t="s">
        <v>97</v>
      </c>
      <c r="O19" s="99">
        <v>1</v>
      </c>
      <c r="P19" s="99">
        <v>0</v>
      </c>
      <c r="Q19" s="127">
        <v>0</v>
      </c>
      <c r="R19" s="99">
        <v>0</v>
      </c>
      <c r="S19" s="100">
        <f t="shared" si="6"/>
        <v>0</v>
      </c>
      <c r="T19" s="101"/>
      <c r="U19" s="12">
        <f t="shared" si="7"/>
        <v>0</v>
      </c>
      <c r="V19" s="12">
        <f t="shared" si="8"/>
        <v>0</v>
      </c>
      <c r="W19" s="12">
        <f t="shared" si="9"/>
        <v>0</v>
      </c>
      <c r="X19" s="12">
        <f t="shared" si="10"/>
        <v>0</v>
      </c>
      <c r="Y19" s="12">
        <f t="shared" si="11"/>
        <v>0</v>
      </c>
      <c r="Z19" s="12">
        <f t="shared" si="12"/>
        <v>0</v>
      </c>
      <c r="AA19" s="102"/>
      <c r="AB19" s="12">
        <f t="shared" si="13"/>
        <v>0</v>
      </c>
      <c r="AC19" s="12">
        <f t="shared" si="14"/>
        <v>0</v>
      </c>
      <c r="AD19" s="12">
        <f t="shared" si="15"/>
        <v>0</v>
      </c>
      <c r="AE19" s="12">
        <f t="shared" si="16"/>
        <v>0</v>
      </c>
      <c r="AF19" s="12">
        <f t="shared" si="17"/>
        <v>0</v>
      </c>
      <c r="AG19" s="12">
        <f t="shared" si="18"/>
        <v>0</v>
      </c>
      <c r="AH19" s="103"/>
      <c r="AI19" s="103"/>
      <c r="AJ19" s="103"/>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row>
    <row r="20" spans="1:75" s="105" customFormat="1" ht="36.75" customHeight="1" x14ac:dyDescent="0.2">
      <c r="A20" s="106"/>
      <c r="B20" s="106"/>
      <c r="C20" s="106"/>
      <c r="D20" s="120"/>
      <c r="E20" s="121"/>
      <c r="F20" s="122"/>
      <c r="G20" s="123" t="s">
        <v>102</v>
      </c>
      <c r="H20" s="123" t="s">
        <v>99</v>
      </c>
      <c r="I20" s="124">
        <v>57</v>
      </c>
      <c r="J20" s="111">
        <v>1</v>
      </c>
      <c r="K20" s="125">
        <v>2</v>
      </c>
      <c r="L20" s="123" t="s">
        <v>111</v>
      </c>
      <c r="M20" s="126">
        <f>2671000-2268000-31200</f>
        <v>371800</v>
      </c>
      <c r="N20" s="97" t="s">
        <v>97</v>
      </c>
      <c r="O20" s="99">
        <v>0.72</v>
      </c>
      <c r="P20" s="99">
        <v>0</v>
      </c>
      <c r="Q20" s="127">
        <v>0.75</v>
      </c>
      <c r="R20" s="99">
        <v>0</v>
      </c>
      <c r="S20" s="100">
        <f t="shared" si="6"/>
        <v>1483482.0000000002</v>
      </c>
      <c r="T20" s="101"/>
      <c r="U20" s="12">
        <f t="shared" si="7"/>
        <v>0</v>
      </c>
      <c r="V20" s="12">
        <f t="shared" si="8"/>
        <v>1483482.0000000002</v>
      </c>
      <c r="W20" s="12">
        <f t="shared" si="9"/>
        <v>0</v>
      </c>
      <c r="X20" s="12">
        <f t="shared" si="10"/>
        <v>0</v>
      </c>
      <c r="Y20" s="12">
        <f t="shared" si="11"/>
        <v>0</v>
      </c>
      <c r="Z20" s="12">
        <f t="shared" si="12"/>
        <v>0</v>
      </c>
      <c r="AA20" s="102"/>
      <c r="AB20" s="12">
        <f t="shared" si="13"/>
        <v>1483482.0000000002</v>
      </c>
      <c r="AC20" s="12">
        <f t="shared" si="14"/>
        <v>1483482.0000000002</v>
      </c>
      <c r="AD20" s="12">
        <f t="shared" si="15"/>
        <v>0</v>
      </c>
      <c r="AE20" s="12">
        <f t="shared" si="16"/>
        <v>0</v>
      </c>
      <c r="AF20" s="12">
        <f t="shared" si="17"/>
        <v>0</v>
      </c>
      <c r="AG20" s="12">
        <f t="shared" si="18"/>
        <v>0</v>
      </c>
      <c r="AH20" s="103"/>
      <c r="AI20" s="103"/>
      <c r="AJ20" s="103"/>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row>
    <row r="21" spans="1:75" s="105" customFormat="1" ht="35.25" customHeight="1" x14ac:dyDescent="0.2">
      <c r="A21" s="109"/>
      <c r="B21" s="109"/>
      <c r="C21" s="109"/>
      <c r="D21" s="128"/>
      <c r="E21" s="129"/>
      <c r="F21" s="122"/>
      <c r="G21" s="123" t="s">
        <v>103</v>
      </c>
      <c r="H21" s="123" t="s">
        <v>99</v>
      </c>
      <c r="I21" s="124">
        <v>38</v>
      </c>
      <c r="J21" s="111">
        <v>1</v>
      </c>
      <c r="K21" s="125">
        <v>2</v>
      </c>
      <c r="L21" s="123" t="s">
        <v>112</v>
      </c>
      <c r="M21" s="126">
        <v>1254400</v>
      </c>
      <c r="N21" s="97" t="s">
        <v>97</v>
      </c>
      <c r="O21" s="99">
        <v>0.82</v>
      </c>
      <c r="P21" s="99">
        <v>0</v>
      </c>
      <c r="Q21" s="127">
        <v>0.75</v>
      </c>
      <c r="R21" s="99">
        <v>0</v>
      </c>
      <c r="S21" s="100">
        <f t="shared" si="6"/>
        <v>2145024.0000000005</v>
      </c>
      <c r="T21" s="101"/>
      <c r="U21" s="12">
        <f t="shared" si="7"/>
        <v>0</v>
      </c>
      <c r="V21" s="12">
        <f t="shared" si="8"/>
        <v>2145024.0000000005</v>
      </c>
      <c r="W21" s="12">
        <f t="shared" si="9"/>
        <v>0</v>
      </c>
      <c r="X21" s="12">
        <f t="shared" si="10"/>
        <v>0</v>
      </c>
      <c r="Y21" s="12">
        <f t="shared" si="11"/>
        <v>0</v>
      </c>
      <c r="Z21" s="12">
        <f t="shared" si="12"/>
        <v>0</v>
      </c>
      <c r="AA21" s="102"/>
      <c r="AB21" s="12">
        <f t="shared" si="13"/>
        <v>2145024.0000000005</v>
      </c>
      <c r="AC21" s="12">
        <f t="shared" si="14"/>
        <v>2145024.0000000005</v>
      </c>
      <c r="AD21" s="12">
        <f t="shared" si="15"/>
        <v>0</v>
      </c>
      <c r="AE21" s="12">
        <f t="shared" si="16"/>
        <v>0</v>
      </c>
      <c r="AF21" s="12">
        <f t="shared" si="17"/>
        <v>0</v>
      </c>
      <c r="AG21" s="12">
        <f t="shared" si="18"/>
        <v>0</v>
      </c>
      <c r="AH21" s="103"/>
      <c r="AI21" s="103"/>
      <c r="AJ21" s="103"/>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row>
    <row r="22" spans="1:75" s="105" customFormat="1" ht="63.75" x14ac:dyDescent="0.2">
      <c r="A22" s="117" t="s">
        <v>135</v>
      </c>
      <c r="B22" s="117" t="s">
        <v>75</v>
      </c>
      <c r="C22" s="117" t="s">
        <v>74</v>
      </c>
      <c r="D22" s="130"/>
      <c r="E22" s="117" t="s">
        <v>76</v>
      </c>
      <c r="F22" s="131" t="s">
        <v>116</v>
      </c>
      <c r="G22" s="131" t="s">
        <v>77</v>
      </c>
      <c r="H22" s="132" t="s">
        <v>62</v>
      </c>
      <c r="I22" s="117"/>
      <c r="J22" s="117"/>
      <c r="K22" s="133"/>
      <c r="L22" s="132"/>
      <c r="M22" s="134"/>
      <c r="N22" s="96"/>
      <c r="O22" s="99">
        <v>0</v>
      </c>
      <c r="P22" s="99">
        <v>0</v>
      </c>
      <c r="Q22" s="99">
        <v>0</v>
      </c>
      <c r="R22" s="99">
        <v>0</v>
      </c>
      <c r="S22" s="100">
        <f t="shared" si="6"/>
        <v>0</v>
      </c>
      <c r="T22" s="101"/>
      <c r="U22" s="12">
        <f t="shared" si="7"/>
        <v>0</v>
      </c>
      <c r="V22" s="12">
        <f t="shared" si="8"/>
        <v>0</v>
      </c>
      <c r="W22" s="12">
        <f t="shared" si="9"/>
        <v>0</v>
      </c>
      <c r="X22" s="12">
        <f t="shared" si="10"/>
        <v>0</v>
      </c>
      <c r="Y22" s="12">
        <f t="shared" si="11"/>
        <v>0</v>
      </c>
      <c r="Z22" s="12">
        <f t="shared" si="12"/>
        <v>0</v>
      </c>
      <c r="AA22" s="102"/>
      <c r="AB22" s="12">
        <f t="shared" si="13"/>
        <v>0</v>
      </c>
      <c r="AC22" s="12">
        <f t="shared" si="14"/>
        <v>0</v>
      </c>
      <c r="AD22" s="12">
        <f t="shared" si="15"/>
        <v>0</v>
      </c>
      <c r="AE22" s="12">
        <f t="shared" si="16"/>
        <v>0</v>
      </c>
      <c r="AF22" s="12">
        <f t="shared" si="17"/>
        <v>0</v>
      </c>
      <c r="AG22" s="12">
        <f t="shared" si="18"/>
        <v>0</v>
      </c>
      <c r="AH22" s="103"/>
      <c r="AI22" s="103"/>
      <c r="AJ22" s="103"/>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row>
    <row r="23" spans="1:75" s="105" customFormat="1" ht="25.5" x14ac:dyDescent="0.2">
      <c r="A23" s="135" t="s">
        <v>58</v>
      </c>
      <c r="B23" s="135"/>
      <c r="C23" s="135"/>
      <c r="D23" s="135"/>
      <c r="E23" s="135"/>
      <c r="F23" s="135" t="s">
        <v>117</v>
      </c>
      <c r="G23" s="135" t="s">
        <v>59</v>
      </c>
      <c r="H23" s="135" t="s">
        <v>78</v>
      </c>
      <c r="I23" s="135"/>
      <c r="J23" s="135"/>
      <c r="K23" s="96"/>
      <c r="L23" s="96"/>
      <c r="M23" s="100"/>
      <c r="N23" s="96"/>
      <c r="O23" s="99">
        <v>0</v>
      </c>
      <c r="P23" s="99">
        <v>0</v>
      </c>
      <c r="Q23" s="99">
        <v>0</v>
      </c>
      <c r="R23" s="99">
        <v>0</v>
      </c>
      <c r="S23" s="100">
        <f t="shared" ref="S23:S25" si="32">I23*M23*(1-O23)*(1-P23)*(1-Q23)</f>
        <v>0</v>
      </c>
      <c r="T23" s="101"/>
      <c r="U23" s="12">
        <f t="shared" si="7"/>
        <v>0</v>
      </c>
      <c r="V23" s="12">
        <f t="shared" si="8"/>
        <v>0</v>
      </c>
      <c r="W23" s="12">
        <f t="shared" si="9"/>
        <v>0</v>
      </c>
      <c r="X23" s="12">
        <f t="shared" si="10"/>
        <v>0</v>
      </c>
      <c r="Y23" s="12">
        <f t="shared" si="11"/>
        <v>0</v>
      </c>
      <c r="Z23" s="12">
        <f t="shared" si="12"/>
        <v>0</v>
      </c>
      <c r="AA23" s="102"/>
      <c r="AB23" s="12">
        <f t="shared" si="13"/>
        <v>0</v>
      </c>
      <c r="AC23" s="12">
        <f t="shared" si="14"/>
        <v>0</v>
      </c>
      <c r="AD23" s="12">
        <f t="shared" si="15"/>
        <v>0</v>
      </c>
      <c r="AE23" s="12">
        <f t="shared" si="16"/>
        <v>0</v>
      </c>
      <c r="AF23" s="12">
        <f t="shared" si="17"/>
        <v>0</v>
      </c>
      <c r="AG23" s="12">
        <f t="shared" si="18"/>
        <v>0</v>
      </c>
      <c r="AH23" s="103"/>
      <c r="AI23" s="103"/>
      <c r="AJ23" s="103"/>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row>
    <row r="24" spans="1:75" s="105" customFormat="1" ht="37.5" customHeight="1" x14ac:dyDescent="0.2">
      <c r="A24" s="136" t="s">
        <v>56</v>
      </c>
      <c r="B24" s="136" t="s">
        <v>85</v>
      </c>
      <c r="C24" s="136" t="s">
        <v>57</v>
      </c>
      <c r="D24" s="137">
        <f>1772325*E36</f>
        <v>552093.30357142852</v>
      </c>
      <c r="E24" s="138" t="s">
        <v>80</v>
      </c>
      <c r="F24" s="136"/>
      <c r="G24" s="136"/>
      <c r="H24" s="136"/>
      <c r="I24" s="136"/>
      <c r="J24" s="136"/>
      <c r="K24" s="97"/>
      <c r="L24" s="136"/>
      <c r="M24" s="139"/>
      <c r="N24" s="135"/>
      <c r="O24" s="99">
        <v>0</v>
      </c>
      <c r="P24" s="99">
        <v>0</v>
      </c>
      <c r="Q24" s="99">
        <v>0</v>
      </c>
      <c r="R24" s="99">
        <v>0</v>
      </c>
      <c r="S24" s="100">
        <f t="shared" si="32"/>
        <v>0</v>
      </c>
      <c r="T24" s="140"/>
      <c r="U24" s="12">
        <f t="shared" si="7"/>
        <v>0</v>
      </c>
      <c r="V24" s="12">
        <f t="shared" si="8"/>
        <v>0</v>
      </c>
      <c r="W24" s="12">
        <f t="shared" si="9"/>
        <v>0</v>
      </c>
      <c r="X24" s="12">
        <f t="shared" si="10"/>
        <v>0</v>
      </c>
      <c r="Y24" s="12">
        <f t="shared" si="11"/>
        <v>0</v>
      </c>
      <c r="Z24" s="12">
        <f t="shared" si="12"/>
        <v>0</v>
      </c>
      <c r="AA24" s="102"/>
      <c r="AB24" s="12">
        <f t="shared" si="13"/>
        <v>0</v>
      </c>
      <c r="AC24" s="12">
        <f t="shared" si="14"/>
        <v>0</v>
      </c>
      <c r="AD24" s="12">
        <f t="shared" si="15"/>
        <v>0</v>
      </c>
      <c r="AE24" s="12">
        <f t="shared" si="16"/>
        <v>0</v>
      </c>
      <c r="AF24" s="12">
        <f t="shared" si="17"/>
        <v>0</v>
      </c>
      <c r="AG24" s="12">
        <f t="shared" si="18"/>
        <v>0</v>
      </c>
      <c r="AH24" s="103"/>
      <c r="AI24" s="103"/>
      <c r="AJ24" s="103"/>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row>
    <row r="25" spans="1:75" s="103" customFormat="1" ht="25.5" x14ac:dyDescent="0.2">
      <c r="A25" s="111" t="s">
        <v>55</v>
      </c>
      <c r="B25" s="111" t="s">
        <v>72</v>
      </c>
      <c r="C25" s="111" t="s">
        <v>106</v>
      </c>
      <c r="D25" s="141"/>
      <c r="E25" s="111" t="s">
        <v>54</v>
      </c>
      <c r="F25" s="111" t="s">
        <v>71</v>
      </c>
      <c r="G25" s="111"/>
      <c r="H25" s="111"/>
      <c r="I25" s="111"/>
      <c r="J25" s="111"/>
      <c r="K25" s="96"/>
      <c r="L25" s="111"/>
      <c r="M25" s="142"/>
      <c r="N25" s="111"/>
      <c r="O25" s="99">
        <v>0</v>
      </c>
      <c r="P25" s="99">
        <v>0</v>
      </c>
      <c r="Q25" s="99">
        <v>0</v>
      </c>
      <c r="R25" s="99">
        <v>0</v>
      </c>
      <c r="S25" s="100">
        <f t="shared" si="32"/>
        <v>0</v>
      </c>
      <c r="T25" s="143"/>
      <c r="U25" s="12">
        <f t="shared" si="7"/>
        <v>0</v>
      </c>
      <c r="V25" s="12">
        <f t="shared" si="8"/>
        <v>0</v>
      </c>
      <c r="W25" s="12">
        <f t="shared" si="9"/>
        <v>0</v>
      </c>
      <c r="X25" s="12">
        <f t="shared" si="10"/>
        <v>0</v>
      </c>
      <c r="Y25" s="12">
        <f t="shared" si="11"/>
        <v>0</v>
      </c>
      <c r="Z25" s="12">
        <f t="shared" si="12"/>
        <v>0</v>
      </c>
      <c r="AA25" s="144"/>
      <c r="AB25" s="12">
        <f t="shared" si="13"/>
        <v>0</v>
      </c>
      <c r="AC25" s="12">
        <f t="shared" si="14"/>
        <v>0</v>
      </c>
      <c r="AD25" s="12">
        <f t="shared" si="15"/>
        <v>0</v>
      </c>
      <c r="AE25" s="12">
        <f t="shared" si="16"/>
        <v>0</v>
      </c>
      <c r="AF25" s="12">
        <f t="shared" si="17"/>
        <v>0</v>
      </c>
      <c r="AG25" s="12">
        <f t="shared" si="18"/>
        <v>0</v>
      </c>
    </row>
    <row r="26" spans="1:75" s="145" customFormat="1" x14ac:dyDescent="0.2">
      <c r="D26" s="146"/>
      <c r="M26" s="146"/>
      <c r="O26" s="147"/>
      <c r="P26" s="147"/>
      <c r="Q26" s="147"/>
      <c r="R26" s="147"/>
      <c r="S26" s="148"/>
      <c r="T26" s="149"/>
      <c r="U26" s="4"/>
      <c r="V26" s="4"/>
      <c r="W26" s="4"/>
      <c r="X26" s="4"/>
      <c r="Y26" s="4"/>
      <c r="Z26" s="4"/>
      <c r="AA26" s="150"/>
      <c r="AB26" s="4"/>
      <c r="AC26" s="4"/>
      <c r="AD26" s="4"/>
      <c r="AE26" s="4"/>
      <c r="AF26" s="4"/>
      <c r="AG26" s="4"/>
      <c r="AH26" s="151"/>
      <c r="AI26" s="151"/>
      <c r="AJ26" s="151"/>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row>
    <row r="27" spans="1:75" s="145" customFormat="1" ht="15.75" x14ac:dyDescent="0.25">
      <c r="A27" s="153" t="s">
        <v>9</v>
      </c>
      <c r="B27" s="154"/>
      <c r="C27" s="154"/>
      <c r="D27" s="13">
        <f>SUM(D13:D25)</f>
        <v>552093.30357142852</v>
      </c>
      <c r="E27" s="154"/>
      <c r="F27" s="154"/>
      <c r="G27" s="154"/>
      <c r="H27" s="154"/>
      <c r="I27" s="154"/>
      <c r="J27" s="154"/>
      <c r="K27" s="154"/>
      <c r="L27" s="154"/>
      <c r="M27" s="7"/>
      <c r="N27" s="154"/>
      <c r="O27" s="155"/>
      <c r="P27" s="155"/>
      <c r="Q27" s="155"/>
      <c r="R27" s="153" t="s">
        <v>9</v>
      </c>
      <c r="S27" s="156">
        <f>SUM(S8:S25)</f>
        <v>2770539.0000000009</v>
      </c>
      <c r="T27" s="149"/>
      <c r="U27" s="13">
        <f t="shared" ref="U27:Z27" si="33">SUM(U8:U25)</f>
        <v>0</v>
      </c>
      <c r="V27" s="13">
        <f t="shared" si="33"/>
        <v>2770539.0000000009</v>
      </c>
      <c r="W27" s="13">
        <f t="shared" si="33"/>
        <v>268005</v>
      </c>
      <c r="X27" s="13">
        <f t="shared" si="33"/>
        <v>88425</v>
      </c>
      <c r="Y27" s="13">
        <f t="shared" si="33"/>
        <v>0</v>
      </c>
      <c r="Z27" s="13">
        <f t="shared" si="33"/>
        <v>0</v>
      </c>
      <c r="AA27" s="150"/>
      <c r="AB27" s="5"/>
      <c r="AC27" s="5"/>
      <c r="AD27" s="5"/>
      <c r="AE27" s="5"/>
      <c r="AF27" s="5"/>
      <c r="AG27" s="5"/>
      <c r="AH27" s="151"/>
      <c r="AI27" s="151"/>
      <c r="AJ27" s="151"/>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52"/>
      <c r="BR27" s="152"/>
      <c r="BS27" s="152"/>
      <c r="BT27" s="152"/>
      <c r="BU27" s="152"/>
      <c r="BV27" s="152"/>
      <c r="BW27" s="152"/>
    </row>
    <row r="28" spans="1:75" s="145" customFormat="1" x14ac:dyDescent="0.2">
      <c r="D28" s="146"/>
      <c r="M28" s="146"/>
      <c r="T28" s="157"/>
      <c r="U28" s="14"/>
      <c r="V28" s="14"/>
      <c r="W28" s="14"/>
      <c r="X28" s="14"/>
      <c r="Y28" s="14"/>
      <c r="Z28" s="14"/>
      <c r="AA28" s="158"/>
      <c r="AB28" s="6"/>
      <c r="AC28" s="6"/>
      <c r="AD28" s="6"/>
      <c r="AE28" s="6"/>
      <c r="AF28" s="6"/>
      <c r="AG28" s="7"/>
      <c r="AH28" s="151"/>
      <c r="AI28" s="151"/>
      <c r="AJ28" s="151"/>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row>
    <row r="29" spans="1:75" s="145" customFormat="1" ht="20.100000000000001" customHeight="1" x14ac:dyDescent="0.2">
      <c r="D29" s="146"/>
      <c r="M29" s="146"/>
      <c r="R29" s="159" t="s">
        <v>10</v>
      </c>
      <c r="S29" s="160"/>
      <c r="T29" s="161"/>
      <c r="U29" s="13">
        <f>+U27</f>
        <v>0</v>
      </c>
      <c r="V29" s="13">
        <f>+V27/(1+W6)</f>
        <v>2702964.8780487818</v>
      </c>
      <c r="W29" s="13">
        <f>+W27/((1+W6)*(1+W6))</f>
        <v>255091.01725163596</v>
      </c>
      <c r="X29" s="13">
        <f>+X27/((1+W6)*(1+W6)*(1+W6))</f>
        <v>82111.402910578792</v>
      </c>
      <c r="Y29" s="13">
        <f>+Y27/((1+W6)*(1+W6)*(1+W6)*(1+W6))</f>
        <v>0</v>
      </c>
      <c r="Z29" s="13">
        <f>+Z27/((1+W6)*(1+W6)*(1+W6)*(1+W6)*(1+W6))</f>
        <v>0</v>
      </c>
      <c r="AA29" s="162"/>
      <c r="AB29" s="5"/>
      <c r="AC29" s="5"/>
      <c r="AD29" s="5"/>
      <c r="AE29" s="5"/>
      <c r="AF29" s="5"/>
      <c r="AG29" s="5"/>
      <c r="AH29" s="151"/>
      <c r="AI29" s="151"/>
      <c r="AJ29" s="151"/>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c r="BU29" s="152"/>
      <c r="BV29" s="152"/>
      <c r="BW29" s="152"/>
    </row>
    <row r="30" spans="1:75" s="145" customFormat="1" ht="20.100000000000001" customHeight="1" x14ac:dyDescent="0.2">
      <c r="D30" s="146"/>
      <c r="M30" s="146"/>
      <c r="R30" s="163" t="s">
        <v>11</v>
      </c>
      <c r="S30" s="164"/>
      <c r="T30" s="165"/>
      <c r="U30" s="166"/>
      <c r="V30" s="15"/>
      <c r="W30" s="15"/>
      <c r="X30" s="15"/>
      <c r="Y30" s="16"/>
      <c r="Z30" s="13">
        <f>SUM(U29:Z29)</f>
        <v>3040167.2982109967</v>
      </c>
      <c r="AA30" s="158"/>
      <c r="AB30" s="5"/>
      <c r="AC30" s="5"/>
      <c r="AD30" s="5"/>
      <c r="AE30" s="5"/>
      <c r="AF30" s="5"/>
      <c r="AG30" s="5"/>
      <c r="AH30" s="151"/>
      <c r="AI30" s="151"/>
      <c r="AJ30" s="151"/>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row>
    <row r="31" spans="1:75" s="145" customFormat="1" ht="20.100000000000001" customHeight="1" x14ac:dyDescent="0.2">
      <c r="A31" s="151"/>
      <c r="B31" s="151"/>
      <c r="C31" s="167"/>
      <c r="D31" s="151"/>
      <c r="E31" s="151"/>
      <c r="M31" s="146"/>
      <c r="R31" s="8" t="s">
        <v>41</v>
      </c>
      <c r="S31" s="168"/>
      <c r="T31" s="158"/>
      <c r="U31" s="169"/>
      <c r="V31" s="170"/>
      <c r="W31" s="170"/>
      <c r="X31" s="170"/>
      <c r="Y31" s="170"/>
      <c r="Z31" s="17">
        <f>+Z30-D27</f>
        <v>2488073.994639568</v>
      </c>
      <c r="AA31" s="158"/>
      <c r="AB31" s="5"/>
      <c r="AC31" s="5"/>
      <c r="AD31" s="5"/>
      <c r="AE31" s="5"/>
      <c r="AF31" s="5"/>
      <c r="AG31" s="10"/>
      <c r="AH31" s="151"/>
      <c r="AI31" s="151"/>
      <c r="AJ31" s="151"/>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row>
    <row r="32" spans="1:75" s="145" customFormat="1" ht="20.100000000000001" customHeight="1" x14ac:dyDescent="0.2">
      <c r="F32" s="145" t="s">
        <v>51</v>
      </c>
      <c r="M32" s="146"/>
      <c r="R32" s="11" t="s">
        <v>42</v>
      </c>
      <c r="S32" s="164"/>
      <c r="T32" s="158"/>
      <c r="U32" s="171"/>
      <c r="V32" s="15"/>
      <c r="W32" s="15"/>
      <c r="X32" s="15"/>
      <c r="Y32" s="16"/>
      <c r="Z32" s="18"/>
      <c r="AA32" s="158"/>
      <c r="AB32" s="5"/>
      <c r="AC32" s="5"/>
      <c r="AD32" s="5"/>
      <c r="AE32" s="5"/>
      <c r="AF32" s="5"/>
      <c r="AG32" s="10"/>
      <c r="AH32" s="151"/>
      <c r="AI32" s="151"/>
      <c r="AJ32" s="151"/>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row>
    <row r="33" spans="1:75" s="145" customFormat="1" ht="20.100000000000001" customHeight="1" x14ac:dyDescent="0.2">
      <c r="F33" s="151"/>
      <c r="G33" s="151"/>
      <c r="H33" s="151"/>
      <c r="M33" s="146"/>
      <c r="R33" s="8" t="s">
        <v>43</v>
      </c>
      <c r="S33" s="168"/>
      <c r="T33" s="158"/>
      <c r="U33" s="172"/>
      <c r="V33" s="154"/>
      <c r="W33" s="154"/>
      <c r="X33" s="154"/>
      <c r="Y33" s="154"/>
      <c r="Z33" s="9">
        <f>+Z30/D27</f>
        <v>5.5066186793871648</v>
      </c>
      <c r="AA33" s="158"/>
      <c r="AB33" s="154"/>
      <c r="AC33" s="154"/>
      <c r="AD33" s="154"/>
      <c r="AE33" s="154"/>
      <c r="AF33" s="154"/>
      <c r="AG33" s="10"/>
      <c r="AH33" s="151"/>
      <c r="AI33" s="151"/>
      <c r="AJ33" s="151"/>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row>
    <row r="34" spans="1:75" s="145" customFormat="1" ht="20.100000000000001" customHeight="1" x14ac:dyDescent="0.2">
      <c r="A34" s="173"/>
      <c r="B34" s="174" t="s">
        <v>128</v>
      </c>
      <c r="C34" s="174" t="s">
        <v>129</v>
      </c>
      <c r="D34" s="175" t="s">
        <v>9</v>
      </c>
      <c r="E34" s="176" t="s">
        <v>130</v>
      </c>
      <c r="F34" s="151"/>
      <c r="G34" s="151"/>
      <c r="H34" s="151"/>
      <c r="M34" s="146"/>
      <c r="R34" s="177" t="s">
        <v>50</v>
      </c>
      <c r="S34" s="164"/>
      <c r="T34" s="178"/>
      <c r="U34" s="179"/>
      <c r="V34" s="180"/>
      <c r="W34" s="180"/>
      <c r="X34" s="180"/>
      <c r="Y34" s="180"/>
      <c r="Z34" s="181"/>
      <c r="AA34" s="172"/>
      <c r="AB34" s="154"/>
      <c r="AC34" s="154"/>
      <c r="AD34" s="154"/>
      <c r="AE34" s="154"/>
      <c r="AF34" s="154"/>
      <c r="AG34" s="154"/>
      <c r="AH34" s="151"/>
      <c r="AI34" s="151"/>
      <c r="AJ34" s="151"/>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row>
    <row r="35" spans="1:75" s="145" customFormat="1" ht="25.5" x14ac:dyDescent="0.2">
      <c r="A35" s="173" t="s">
        <v>126</v>
      </c>
      <c r="B35" s="182">
        <v>177</v>
      </c>
      <c r="C35" s="182">
        <v>137</v>
      </c>
      <c r="D35" s="182">
        <f>B35+C35</f>
        <v>314</v>
      </c>
      <c r="E35" s="183"/>
      <c r="F35" s="151"/>
      <c r="G35" s="151"/>
      <c r="H35" s="151"/>
      <c r="M35" s="146"/>
      <c r="T35" s="184"/>
      <c r="U35" s="158"/>
      <c r="V35" s="158"/>
      <c r="W35" s="158"/>
      <c r="X35" s="158"/>
      <c r="Y35" s="158"/>
      <c r="Z35" s="158"/>
      <c r="AA35" s="158"/>
      <c r="AG35" s="146"/>
      <c r="AH35" s="151"/>
      <c r="AI35" s="151"/>
      <c r="AJ35" s="151"/>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c r="BV35" s="152"/>
      <c r="BW35" s="152"/>
    </row>
    <row r="36" spans="1:75" s="145" customFormat="1" ht="25.5" x14ac:dyDescent="0.2">
      <c r="A36" s="173" t="s">
        <v>127</v>
      </c>
      <c r="B36" s="182">
        <v>476</v>
      </c>
      <c r="C36" s="182">
        <v>532</v>
      </c>
      <c r="D36" s="182">
        <f>B36+C36</f>
        <v>1008</v>
      </c>
      <c r="E36" s="175">
        <f>D35/D36</f>
        <v>0.31150793650793651</v>
      </c>
      <c r="F36" s="185"/>
      <c r="G36" s="185"/>
      <c r="H36" s="151"/>
      <c r="M36" s="146"/>
      <c r="T36" s="184"/>
      <c r="U36" s="158"/>
      <c r="V36" s="158"/>
      <c r="W36" s="158"/>
      <c r="X36" s="158"/>
      <c r="Y36" s="158"/>
      <c r="Z36" s="158"/>
      <c r="AA36" s="158"/>
      <c r="AG36" s="146"/>
      <c r="AH36" s="151"/>
      <c r="AI36" s="151"/>
      <c r="AJ36" s="151"/>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row>
    <row r="37" spans="1:75" x14ac:dyDescent="0.2">
      <c r="A37" s="27"/>
      <c r="B37" s="27"/>
      <c r="C37" s="27"/>
      <c r="D37" s="186"/>
      <c r="E37" s="27"/>
      <c r="F37" s="151"/>
      <c r="G37" s="27"/>
      <c r="H37" s="27"/>
      <c r="AB37" s="189"/>
      <c r="AC37" s="189"/>
      <c r="AD37" s="189"/>
      <c r="AE37" s="189"/>
      <c r="AF37" s="189"/>
      <c r="AG37" s="3"/>
    </row>
    <row r="38" spans="1:75" x14ac:dyDescent="0.2">
      <c r="A38" s="27"/>
      <c r="B38" s="27"/>
      <c r="C38" s="27"/>
      <c r="D38" s="27"/>
      <c r="E38" s="27"/>
      <c r="F38" s="27"/>
      <c r="G38" s="27"/>
      <c r="H38" s="27"/>
      <c r="AB38" s="189"/>
      <c r="AC38" s="1"/>
      <c r="AD38" s="1"/>
      <c r="AE38" s="1"/>
      <c r="AF38" s="1"/>
      <c r="AG38" s="3"/>
    </row>
    <row r="39" spans="1:75" x14ac:dyDescent="0.2">
      <c r="A39" s="27"/>
      <c r="B39" s="27"/>
      <c r="C39" s="27"/>
      <c r="D39" s="28"/>
      <c r="E39" s="27"/>
      <c r="F39" s="27"/>
      <c r="G39" s="27"/>
      <c r="H39" s="27"/>
      <c r="AB39" s="189"/>
      <c r="AC39" s="1"/>
      <c r="AD39" s="1"/>
      <c r="AE39" s="1"/>
      <c r="AF39" s="1"/>
      <c r="AG39" s="3"/>
    </row>
    <row r="40" spans="1:75" x14ac:dyDescent="0.2">
      <c r="F40" s="27"/>
      <c r="G40" s="27"/>
      <c r="H40" s="27"/>
      <c r="M40" s="187"/>
      <c r="T40" s="187"/>
      <c r="U40" s="187"/>
      <c r="V40" s="187"/>
      <c r="W40" s="187"/>
      <c r="X40" s="187"/>
      <c r="Y40" s="187"/>
      <c r="Z40" s="187"/>
      <c r="AA40" s="187"/>
      <c r="AB40" s="189"/>
      <c r="AC40" s="1"/>
      <c r="AD40" s="1"/>
      <c r="AE40" s="1"/>
      <c r="AF40" s="1"/>
      <c r="AG40" s="3"/>
      <c r="AH40" s="187"/>
      <c r="AI40" s="187"/>
      <c r="AJ40" s="187"/>
      <c r="AK40" s="187"/>
      <c r="AL40" s="187"/>
      <c r="AM40" s="187"/>
      <c r="AN40" s="187"/>
      <c r="AO40" s="187"/>
      <c r="AP40" s="187"/>
      <c r="AQ40" s="187"/>
      <c r="AR40" s="187"/>
      <c r="AS40" s="187"/>
      <c r="AT40" s="187"/>
      <c r="AU40" s="187"/>
      <c r="AV40" s="187"/>
      <c r="AW40" s="187"/>
      <c r="AX40" s="187"/>
      <c r="AY40" s="187"/>
      <c r="AZ40" s="187"/>
      <c r="BA40" s="187"/>
      <c r="BB40" s="187"/>
      <c r="BC40" s="187"/>
      <c r="BD40" s="187"/>
      <c r="BE40" s="187"/>
      <c r="BF40" s="187"/>
      <c r="BG40" s="187"/>
      <c r="BH40" s="187"/>
      <c r="BI40" s="187"/>
      <c r="BJ40" s="187"/>
      <c r="BK40" s="187"/>
      <c r="BL40" s="187"/>
      <c r="BM40" s="187"/>
      <c r="BN40" s="187"/>
      <c r="BO40" s="187"/>
      <c r="BP40" s="187"/>
      <c r="BQ40" s="187"/>
      <c r="BR40" s="187"/>
      <c r="BS40" s="187"/>
      <c r="BT40" s="187"/>
      <c r="BU40" s="187"/>
      <c r="BV40" s="187"/>
      <c r="BW40" s="187"/>
    </row>
    <row r="41" spans="1:75" x14ac:dyDescent="0.2">
      <c r="F41" s="27"/>
      <c r="G41" s="27"/>
      <c r="H41" s="27"/>
      <c r="M41" s="187"/>
      <c r="T41" s="187"/>
      <c r="U41" s="187"/>
      <c r="V41" s="187"/>
      <c r="W41" s="187"/>
      <c r="X41" s="187"/>
      <c r="Y41" s="187"/>
      <c r="Z41" s="187"/>
      <c r="AA41" s="187"/>
      <c r="AB41" s="2"/>
      <c r="AC41" s="2"/>
      <c r="AD41" s="2"/>
      <c r="AE41" s="2"/>
      <c r="AF41" s="2"/>
      <c r="AG41" s="3"/>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row>
    <row r="42" spans="1:75" x14ac:dyDescent="0.2">
      <c r="F42" s="27"/>
      <c r="G42" s="27"/>
      <c r="H42" s="27"/>
    </row>
  </sheetData>
  <sheetProtection password="CAB5" sheet="1" objects="1" scenarios="1"/>
  <mergeCells count="36">
    <mergeCell ref="A16:A21"/>
    <mergeCell ref="F17:F21"/>
    <mergeCell ref="E16:E21"/>
    <mergeCell ref="D16:D21"/>
    <mergeCell ref="C16:C21"/>
    <mergeCell ref="B16:B21"/>
    <mergeCell ref="E13:E14"/>
    <mergeCell ref="D13:D14"/>
    <mergeCell ref="C13:C14"/>
    <mergeCell ref="B13:B14"/>
    <mergeCell ref="A13:A14"/>
    <mergeCell ref="P6:P7"/>
    <mergeCell ref="O6:O7"/>
    <mergeCell ref="F5:N5"/>
    <mergeCell ref="O4:P4"/>
    <mergeCell ref="AB6:AC6"/>
    <mergeCell ref="S6:S7"/>
    <mergeCell ref="AB5:AG5"/>
    <mergeCell ref="AF6:AG6"/>
    <mergeCell ref="R6:R7"/>
    <mergeCell ref="Q6:Q7"/>
    <mergeCell ref="U5:Z5"/>
    <mergeCell ref="U6:V6"/>
    <mergeCell ref="Y6:Z6"/>
    <mergeCell ref="A1:H1"/>
    <mergeCell ref="A6:A7"/>
    <mergeCell ref="B6:B7"/>
    <mergeCell ref="C6:C7"/>
    <mergeCell ref="D6:D7"/>
    <mergeCell ref="E6:E7"/>
    <mergeCell ref="C5:D5"/>
    <mergeCell ref="E8:E12"/>
    <mergeCell ref="D8:D12"/>
    <mergeCell ref="C8:C12"/>
    <mergeCell ref="B8:B12"/>
    <mergeCell ref="A8:A12"/>
  </mergeCells>
  <phoneticPr fontId="0" type="noConversion"/>
  <pageMargins left="0.25" right="0.25" top="0.75" bottom="0.75" header="0.3" footer="0.3"/>
  <pageSetup paperSize="9" orientation="portrait" r:id="rId1"/>
  <headerFooter alignWithMargins="0"/>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impact map</vt:lpstr>
      <vt:lpstr>'impact map'!Print_Area</vt:lpstr>
    </vt:vector>
  </TitlesOfParts>
  <Company>betamodel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Nicholls</dc:creator>
  <cp:lastModifiedBy>Brandon Wilkerson</cp:lastModifiedBy>
  <cp:lastPrinted>2015-02-05T16:46:07Z</cp:lastPrinted>
  <dcterms:created xsi:type="dcterms:W3CDTF">2008-09-14T13:53:09Z</dcterms:created>
  <dcterms:modified xsi:type="dcterms:W3CDTF">2015-06-05T00:34:05Z</dcterms:modified>
</cp:coreProperties>
</file>