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Race to the Top\RT3 Evaluation\SROI\Drafts\Final Draft\"/>
    </mc:Choice>
  </mc:AlternateContent>
  <bookViews>
    <workbookView xWindow="0" yWindow="0" windowWidth="18645" windowHeight="11985"/>
  </bookViews>
  <sheets>
    <sheet name="impact map" sheetId="1" r:id="rId1"/>
  </sheets>
  <calcPr calcId="152511"/>
</workbook>
</file>

<file path=xl/calcChain.xml><?xml version="1.0" encoding="utf-8"?>
<calcChain xmlns="http://schemas.openxmlformats.org/spreadsheetml/2006/main">
  <c r="D21" i="1" l="1"/>
  <c r="U9" i="1" l="1"/>
  <c r="U10" i="1"/>
  <c r="V10" i="1"/>
  <c r="W10" i="1"/>
  <c r="X10" i="1"/>
  <c r="Y10" i="1"/>
  <c r="Z10" i="1"/>
  <c r="U11" i="1"/>
  <c r="V11" i="1"/>
  <c r="W11" i="1"/>
  <c r="X11" i="1"/>
  <c r="Y11" i="1"/>
  <c r="Z11" i="1"/>
  <c r="U12" i="1"/>
  <c r="U13" i="1"/>
  <c r="V13" i="1"/>
  <c r="W13" i="1"/>
  <c r="X13" i="1"/>
  <c r="Y13" i="1"/>
  <c r="Z13" i="1"/>
  <c r="U14" i="1"/>
  <c r="V14" i="1"/>
  <c r="W14" i="1"/>
  <c r="X14" i="1"/>
  <c r="Y14" i="1"/>
  <c r="Z14" i="1"/>
  <c r="U15" i="1"/>
  <c r="V15" i="1"/>
  <c r="W15" i="1"/>
  <c r="X15" i="1"/>
  <c r="Y15" i="1"/>
  <c r="Z15" i="1"/>
  <c r="U16" i="1"/>
  <c r="U17" i="1"/>
  <c r="X17" i="1"/>
  <c r="Y17" i="1"/>
  <c r="Z17" i="1"/>
  <c r="U18" i="1"/>
  <c r="Z18" i="1"/>
  <c r="U19" i="1"/>
  <c r="U20" i="1"/>
  <c r="U21" i="1"/>
  <c r="V21" i="1"/>
  <c r="W21" i="1"/>
  <c r="X21" i="1"/>
  <c r="Y21" i="1"/>
  <c r="Z21" i="1"/>
  <c r="U22" i="1"/>
  <c r="V22" i="1"/>
  <c r="W22" i="1"/>
  <c r="X22" i="1"/>
  <c r="Y22" i="1"/>
  <c r="Z22" i="1"/>
  <c r="U23" i="1"/>
  <c r="V23" i="1"/>
  <c r="W23" i="1"/>
  <c r="X23" i="1"/>
  <c r="Y23" i="1"/>
  <c r="Z23" i="1"/>
  <c r="U24" i="1"/>
  <c r="V24" i="1"/>
  <c r="W24" i="1"/>
  <c r="X24" i="1"/>
  <c r="Y24" i="1"/>
  <c r="Z24" i="1"/>
  <c r="U25" i="1"/>
  <c r="U26" i="1"/>
  <c r="V26" i="1"/>
  <c r="W26" i="1"/>
  <c r="X26" i="1"/>
  <c r="Y26" i="1"/>
  <c r="Z26" i="1"/>
  <c r="AD9" i="1"/>
  <c r="W9" i="1" s="1"/>
  <c r="AE9" i="1"/>
  <c r="X9" i="1" s="1"/>
  <c r="AF9" i="1"/>
  <c r="Y9" i="1" s="1"/>
  <c r="AG9" i="1"/>
  <c r="Z9" i="1" s="1"/>
  <c r="AB10" i="1"/>
  <c r="AC10" i="1"/>
  <c r="AD10" i="1" s="1"/>
  <c r="AE10" i="1"/>
  <c r="AF10" i="1"/>
  <c r="AG10" i="1"/>
  <c r="AB11" i="1"/>
  <c r="AC11" i="1"/>
  <c r="AD11" i="1"/>
  <c r="AE11" i="1"/>
  <c r="AF11" i="1"/>
  <c r="AG11" i="1"/>
  <c r="AD12" i="1"/>
  <c r="W12" i="1" s="1"/>
  <c r="AE12" i="1"/>
  <c r="X12" i="1" s="1"/>
  <c r="AF12" i="1"/>
  <c r="Y12" i="1" s="1"/>
  <c r="AG12" i="1"/>
  <c r="Z12" i="1" s="1"/>
  <c r="AB13" i="1"/>
  <c r="AC13" i="1"/>
  <c r="AD13" i="1"/>
  <c r="AE13" i="1"/>
  <c r="AF13" i="1"/>
  <c r="AG13" i="1"/>
  <c r="AB14" i="1"/>
  <c r="AC14" i="1"/>
  <c r="AD14" i="1" s="1"/>
  <c r="AE14" i="1"/>
  <c r="AF14" i="1"/>
  <c r="AG14" i="1"/>
  <c r="AB15" i="1"/>
  <c r="AC15" i="1"/>
  <c r="AD15" i="1"/>
  <c r="AE15" i="1"/>
  <c r="AF15" i="1"/>
  <c r="AG15" i="1"/>
  <c r="AD16" i="1"/>
  <c r="W16" i="1" s="1"/>
  <c r="AE16" i="1"/>
  <c r="X16" i="1" s="1"/>
  <c r="AF16" i="1"/>
  <c r="Y16" i="1" s="1"/>
  <c r="AG16" i="1"/>
  <c r="Z16" i="1" s="1"/>
  <c r="AD17" i="1"/>
  <c r="W17" i="1" s="1"/>
  <c r="AE17" i="1"/>
  <c r="AF17" i="1"/>
  <c r="AG17" i="1"/>
  <c r="AB18" i="1"/>
  <c r="V18" i="1" s="1"/>
  <c r="AD18" i="1"/>
  <c r="W18" i="1" s="1"/>
  <c r="AE18" i="1"/>
  <c r="X18" i="1" s="1"/>
  <c r="AF18" i="1"/>
  <c r="Y18" i="1" s="1"/>
  <c r="AG18" i="1"/>
  <c r="AD19" i="1"/>
  <c r="W19" i="1" s="1"/>
  <c r="AE19" i="1"/>
  <c r="X19" i="1" s="1"/>
  <c r="AF19" i="1"/>
  <c r="Y19" i="1" s="1"/>
  <c r="AG19" i="1"/>
  <c r="Z19" i="1" s="1"/>
  <c r="AD20" i="1"/>
  <c r="W20" i="1" s="1"/>
  <c r="AE20" i="1"/>
  <c r="X20" i="1" s="1"/>
  <c r="AF20" i="1"/>
  <c r="Y20" i="1" s="1"/>
  <c r="AG20" i="1"/>
  <c r="Z20" i="1" s="1"/>
  <c r="AB21" i="1"/>
  <c r="AC21" i="1"/>
  <c r="AD21" i="1"/>
  <c r="AE21" i="1"/>
  <c r="AF21" i="1"/>
  <c r="AG21" i="1"/>
  <c r="AB22" i="1"/>
  <c r="AC22" i="1"/>
  <c r="AD22" i="1"/>
  <c r="AE22" i="1"/>
  <c r="AF22" i="1"/>
  <c r="AG22" i="1"/>
  <c r="AB23" i="1"/>
  <c r="AC23" i="1"/>
  <c r="AD23" i="1"/>
  <c r="AE23" i="1"/>
  <c r="AF23" i="1"/>
  <c r="AG23" i="1"/>
  <c r="AB24" i="1"/>
  <c r="AC24" i="1"/>
  <c r="AD24" i="1" s="1"/>
  <c r="AE24" i="1" s="1"/>
  <c r="AF24" i="1"/>
  <c r="AG24" i="1"/>
  <c r="AF25" i="1"/>
  <c r="Y25" i="1" s="1"/>
  <c r="AG25" i="1"/>
  <c r="Z25" i="1" s="1"/>
  <c r="AB26" i="1"/>
  <c r="AC26" i="1"/>
  <c r="AD26" i="1"/>
  <c r="AE26" i="1"/>
  <c r="AF26" i="1"/>
  <c r="AG26" i="1"/>
  <c r="S9" i="1"/>
  <c r="AB9" i="1" s="1"/>
  <c r="V9" i="1" s="1"/>
  <c r="S10" i="1"/>
  <c r="S11" i="1"/>
  <c r="S12" i="1"/>
  <c r="AB12" i="1" s="1"/>
  <c r="V12" i="1" s="1"/>
  <c r="S13" i="1"/>
  <c r="S14" i="1"/>
  <c r="S15" i="1"/>
  <c r="S16" i="1"/>
  <c r="AC16" i="1" s="1"/>
  <c r="S17" i="1"/>
  <c r="AB17" i="1" s="1"/>
  <c r="V17" i="1" s="1"/>
  <c r="S18" i="1"/>
  <c r="AC18" i="1" s="1"/>
  <c r="S19" i="1"/>
  <c r="AB19" i="1" s="1"/>
  <c r="V19" i="1" s="1"/>
  <c r="S20" i="1"/>
  <c r="AC20" i="1" s="1"/>
  <c r="S21" i="1"/>
  <c r="S22" i="1"/>
  <c r="S23" i="1"/>
  <c r="S24" i="1"/>
  <c r="S25" i="1"/>
  <c r="AB25" i="1" s="1"/>
  <c r="V25" i="1" s="1"/>
  <c r="S26" i="1"/>
  <c r="S8" i="1"/>
  <c r="AC9" i="1" l="1"/>
  <c r="AC17" i="1"/>
  <c r="AB16" i="1"/>
  <c r="V16" i="1" s="1"/>
  <c r="AB20" i="1"/>
  <c r="V20" i="1" s="1"/>
  <c r="AC19" i="1"/>
  <c r="U28" i="1"/>
  <c r="AC25" i="1"/>
  <c r="AD25" i="1" s="1"/>
  <c r="AE25" i="1"/>
  <c r="X25" i="1" s="1"/>
  <c r="W25" i="1"/>
  <c r="W28" i="1" s="1"/>
  <c r="Y28" i="1"/>
  <c r="Z28" i="1"/>
  <c r="Z30" i="1" s="1"/>
  <c r="X28" i="1"/>
  <c r="AC12" i="1"/>
  <c r="D28" i="1"/>
  <c r="AG8" i="1"/>
  <c r="Z8" i="1" s="1"/>
  <c r="AF8" i="1"/>
  <c r="Y8" i="1" s="1"/>
  <c r="AE8" i="1"/>
  <c r="X8" i="1" s="1"/>
  <c r="AD8" i="1"/>
  <c r="W8" i="1" s="1"/>
  <c r="AC8" i="1"/>
  <c r="U8" i="1"/>
  <c r="AB8" i="1"/>
  <c r="V8" i="1" s="1"/>
  <c r="V28" i="1" l="1"/>
  <c r="V30" i="1" s="1"/>
  <c r="Y30" i="1"/>
  <c r="U30" i="1"/>
  <c r="S28" i="1"/>
  <c r="X30" i="1" l="1"/>
  <c r="W30" i="1"/>
  <c r="Z31" i="1" l="1"/>
  <c r="Z32" i="1" s="1"/>
  <c r="Z34" i="1" l="1"/>
</calcChain>
</file>

<file path=xl/comments1.xml><?xml version="1.0" encoding="utf-8"?>
<comments xmlns="http://schemas.openxmlformats.org/spreadsheetml/2006/main">
  <authors>
    <author>Andrea Beesley</author>
  </authors>
  <commentList>
    <comment ref="J9" authorId="0" shapeId="0">
      <text>
        <r>
          <rPr>
            <sz val="9"/>
            <color indexed="81"/>
            <rFont val="Tahoma"/>
            <family val="2"/>
          </rPr>
          <t>The grant lasts for three years but this is the total amount; one year is entered here to avoid overcounting it.</t>
        </r>
      </text>
    </comment>
    <comment ref="O9" authorId="0" shapeId="0">
      <text>
        <r>
          <rPr>
            <sz val="9"/>
            <color indexed="81"/>
            <rFont val="Tahoma"/>
            <family val="2"/>
          </rPr>
          <t>Without the initial grant there would be no replication grant.</t>
        </r>
      </text>
    </comment>
    <comment ref="P9" authorId="0" shapeId="0">
      <text>
        <r>
          <rPr>
            <sz val="9"/>
            <color indexed="81"/>
            <rFont val="Tahoma"/>
            <family val="2"/>
          </rPr>
          <t>No evidence of displacement</t>
        </r>
      </text>
    </comment>
    <comment ref="R9" authorId="0" shapeId="0">
      <text>
        <r>
          <rPr>
            <sz val="9"/>
            <color indexed="81"/>
            <rFont val="Tahoma"/>
            <family val="2"/>
          </rPr>
          <t>Calculated as if awarded all at once.</t>
        </r>
      </text>
    </comment>
    <comment ref="J10" authorId="0" shapeId="0">
      <text>
        <r>
          <rPr>
            <sz val="9"/>
            <color indexed="81"/>
            <rFont val="Tahoma"/>
            <family val="2"/>
          </rPr>
          <t>Most people will replace the phone or device in two years.</t>
        </r>
      </text>
    </comment>
    <comment ref="O10" authorId="0" shapeId="0">
      <text>
        <r>
          <rPr>
            <sz val="9"/>
            <color indexed="81"/>
            <rFont val="Tahoma"/>
            <family val="2"/>
          </rPr>
          <t>Without the mechatronics program, people may have gotten their devices fixed, but not by mechatronics students. The mechatronics program made it possible for this activity to provide outcome benefits to the school.</t>
        </r>
      </text>
    </comment>
    <comment ref="P10" authorId="0" shapeId="0">
      <text>
        <r>
          <rPr>
            <sz val="9"/>
            <color indexed="81"/>
            <rFont val="Tahoma"/>
            <family val="2"/>
          </rPr>
          <t xml:space="preserve">Without the service at the school, people may have replaced the item, lived with the problem, or taken it to another place for repair. About 25% of users live with damage rather than seek repairs (Cnet). Replacement is becoming more popular than repair (IBISWorls). But a percentage, estimated at 25%, of repairs by mechatronics students are displaced from other local repair services. </t>
        </r>
      </text>
    </comment>
    <comment ref="Q10" authorId="0" shapeId="0">
      <text>
        <r>
          <rPr>
            <sz val="9"/>
            <color indexed="81"/>
            <rFont val="Tahoma"/>
            <family val="2"/>
          </rPr>
          <t xml:space="preserve">No evidence of attribution
</t>
        </r>
      </text>
    </comment>
    <comment ref="R10" authorId="0" shapeId="0">
      <text>
        <r>
          <rPr>
            <sz val="9"/>
            <color indexed="81"/>
            <rFont val="Tahoma"/>
            <family val="2"/>
          </rPr>
          <t>No evidence of drop-off</t>
        </r>
      </text>
    </comment>
    <comment ref="M12" authorId="0" shapeId="0">
      <text>
        <r>
          <rPr>
            <sz val="9"/>
            <color indexed="81"/>
            <rFont val="Tahoma"/>
            <family val="2"/>
          </rPr>
          <t>Can be as high as $156,612.</t>
        </r>
      </text>
    </comment>
    <comment ref="P12" authorId="0" shapeId="0">
      <text>
        <r>
          <rPr>
            <sz val="9"/>
            <color indexed="81"/>
            <rFont val="Tahoma"/>
            <family val="2"/>
          </rPr>
          <t>Based on 25% estimated students who may have done a different dual enrollment program.</t>
        </r>
      </text>
    </comment>
    <comment ref="J14" authorId="0" shapeId="0">
      <text>
        <r>
          <rPr>
            <sz val="9"/>
            <color indexed="81"/>
            <rFont val="Tahoma"/>
            <family val="2"/>
          </rPr>
          <t>Credits are expected to be most applicable in the first two postsecondary years.</t>
        </r>
      </text>
    </comment>
    <comment ref="O14" authorId="0" shapeId="0">
      <text>
        <r>
          <rPr>
            <sz val="9"/>
            <color indexed="81"/>
            <rFont val="Tahoma"/>
            <family val="2"/>
          </rPr>
          <t xml:space="preserve">Mechatronics attracted students who were already college-bound, but some, estimated at 25%, would have taken other classes with TCSG credits if mechatronics hadn't existed. </t>
        </r>
      </text>
    </comment>
    <comment ref="P14" authorId="0" shapeId="0">
      <text>
        <r>
          <rPr>
            <sz val="9"/>
            <color indexed="81"/>
            <rFont val="Tahoma"/>
            <family val="2"/>
          </rPr>
          <t>No evidence</t>
        </r>
      </text>
    </comment>
    <comment ref="Q14" authorId="0" shapeId="0">
      <text>
        <r>
          <rPr>
            <sz val="9"/>
            <color indexed="81"/>
            <rFont val="Tahoma"/>
            <family val="2"/>
          </rPr>
          <t>No evidence</t>
        </r>
      </text>
    </comment>
    <comment ref="R14" authorId="0" shapeId="0">
      <text>
        <r>
          <rPr>
            <sz val="9"/>
            <color indexed="81"/>
            <rFont val="Tahoma"/>
            <family val="2"/>
          </rPr>
          <t>No evidence</t>
        </r>
      </text>
    </comment>
    <comment ref="J15" authorId="0" shapeId="0">
      <text>
        <r>
          <rPr>
            <sz val="9"/>
            <color indexed="81"/>
            <rFont val="Tahoma"/>
            <family val="2"/>
          </rPr>
          <t>The effect of the summer job is expected to last a year, until the next summer job opportunity.</t>
        </r>
      </text>
    </comment>
    <comment ref="O15" authorId="0" shapeId="0">
      <text>
        <r>
          <rPr>
            <sz val="9"/>
            <color indexed="81"/>
            <rFont val="Tahoma"/>
            <family val="2"/>
          </rPr>
          <t>Assuming that students with skilled jobs would otherwise have worked the same amount at minimum wage.</t>
        </r>
      </text>
    </comment>
    <comment ref="P15" authorId="0" shapeId="0">
      <text>
        <r>
          <rPr>
            <sz val="9"/>
            <color indexed="81"/>
            <rFont val="Tahoma"/>
            <family val="2"/>
          </rPr>
          <t>No evidence</t>
        </r>
      </text>
    </comment>
    <comment ref="Q15" authorId="0" shapeId="0">
      <text>
        <r>
          <rPr>
            <sz val="9"/>
            <color indexed="81"/>
            <rFont val="Tahoma"/>
            <family val="2"/>
          </rPr>
          <t>No evidence of other attributions</t>
        </r>
      </text>
    </comment>
    <comment ref="R15" authorId="0" shapeId="0">
      <text>
        <r>
          <rPr>
            <sz val="9"/>
            <color indexed="81"/>
            <rFont val="Tahoma"/>
            <family val="2"/>
          </rPr>
          <t>No evidence</t>
        </r>
      </text>
    </comment>
    <comment ref="I16" authorId="0" shapeId="0">
      <text>
        <r>
          <rPr>
            <sz val="9"/>
            <color indexed="81"/>
            <rFont val="Tahoma"/>
            <family val="2"/>
          </rPr>
          <t>The ALSQ reports only outcomes from the original grant-funded cohort; there are 32 other students in additional course sections who are not represented here.</t>
        </r>
      </text>
    </comment>
    <comment ref="J16" authorId="0" shapeId="0">
      <text>
        <r>
          <rPr>
            <sz val="9"/>
            <color indexed="81"/>
            <rFont val="Tahoma"/>
            <family val="2"/>
          </rPr>
          <t>Although the effects of education levels last a lifetime, we enter a duration of 1 year to avoid counting a lifetime-earnings unit more than once.</t>
        </r>
      </text>
    </comment>
    <comment ref="M16" authorId="0" shapeId="0">
      <text>
        <r>
          <rPr>
            <sz val="9"/>
            <color indexed="81"/>
            <rFont val="Tahoma"/>
            <family val="2"/>
          </rPr>
          <t>Difference in median lifetime earnings between people with high school diploma ($1,304,000) vs. less than high school ($973,000)</t>
        </r>
      </text>
    </comment>
    <comment ref="O16" authorId="0" shapeId="0">
      <text>
        <r>
          <rPr>
            <sz val="9"/>
            <color indexed="81"/>
            <rFont val="Tahoma"/>
            <family val="2"/>
          </rPr>
          <t>Before the program, no students said they intended to get less than a high school diploma, so it is unlikely that the program made these students more likely to graduate</t>
        </r>
      </text>
    </comment>
    <comment ref="M17" authorId="0" shapeId="0">
      <text>
        <r>
          <rPr>
            <sz val="9"/>
            <color indexed="81"/>
            <rFont val="Tahoma"/>
            <family val="2"/>
          </rPr>
          <t>Difference between the lifetime earnings of students with associates degrees vs. high school graduates, less the average student debt amount for 2-year degree</t>
        </r>
      </text>
    </comment>
    <comment ref="O17" authorId="0" shapeId="0">
      <text>
        <r>
          <rPr>
            <sz val="9"/>
            <color indexed="81"/>
            <rFont val="Tahoma"/>
            <family val="2"/>
          </rPr>
          <t>Before the program, 10 students said they were going to get a 2-year degree. We assume that the four who still plan to are those who originally had this intention.</t>
        </r>
      </text>
    </comment>
    <comment ref="M18" authorId="0" shapeId="0">
      <text>
        <r>
          <rPr>
            <sz val="9"/>
            <color indexed="81"/>
            <rFont val="Tahoma"/>
            <family val="2"/>
          </rPr>
          <t>Difference between the lifetime earnings of students with bachelors vs. associates degrees, less the average student debt amount for 4-year degree</t>
        </r>
      </text>
    </comment>
    <comment ref="O18" authorId="0" shapeId="0">
      <text>
        <r>
          <rPr>
            <sz val="9"/>
            <color indexed="81"/>
            <rFont val="Tahoma"/>
            <family val="2"/>
          </rPr>
          <t>Before the program, 27 students said they would get a four-year degree. We assume the ones who still intend to are those who originally did.</t>
        </r>
      </text>
    </comment>
    <comment ref="I19" authorId="0" shapeId="0">
      <text>
        <r>
          <rPr>
            <sz val="9"/>
            <color indexed="81"/>
            <rFont val="Tahoma"/>
            <family val="2"/>
          </rPr>
          <t xml:space="preserve">High: Number of students in the grant cohort who intended to achieve this level = </t>
        </r>
        <r>
          <rPr>
            <b/>
            <sz val="9"/>
            <color indexed="81"/>
            <rFont val="Tahoma"/>
            <family val="2"/>
          </rPr>
          <t>22</t>
        </r>
        <r>
          <rPr>
            <sz val="9"/>
            <color indexed="81"/>
            <rFont val="Tahoma"/>
            <family val="2"/>
          </rPr>
          <t xml:space="preserve">
Low: number of students who intended to achieve this level (22) * .52, the NCES STEM graduation rate for students who enter a four-year college * .66, the graduation rate for STEM Master's degrees = </t>
        </r>
        <r>
          <rPr>
            <b/>
            <sz val="9"/>
            <color indexed="81"/>
            <rFont val="Tahoma"/>
            <family val="2"/>
          </rPr>
          <t>8</t>
        </r>
        <r>
          <rPr>
            <sz val="9"/>
            <color indexed="81"/>
            <rFont val="Tahoma"/>
            <family val="2"/>
          </rPr>
          <t xml:space="preserve">
</t>
        </r>
      </text>
    </comment>
    <comment ref="M19" authorId="0" shapeId="0">
      <text>
        <r>
          <rPr>
            <sz val="9"/>
            <color indexed="81"/>
            <rFont val="Tahoma"/>
            <family val="2"/>
          </rPr>
          <t>Difference between the lifetime earnings of students with bachelor's vs. master's degrees, less the average student debt amount for master's degree</t>
        </r>
      </text>
    </comment>
    <comment ref="O19" authorId="0" shapeId="0">
      <text>
        <r>
          <rPr>
            <sz val="9"/>
            <color indexed="81"/>
            <rFont val="Tahoma"/>
            <family val="2"/>
          </rPr>
          <t>The number of students intending to get a graduate degree rose from 13 to 22, indicating 59% deadweight (13/22)</t>
        </r>
      </text>
    </comment>
    <comment ref="Q19" authorId="0" shapeId="0">
      <text>
        <r>
          <rPr>
            <sz val="9"/>
            <color indexed="81"/>
            <rFont val="Tahoma"/>
            <family val="2"/>
          </rPr>
          <t>Mechatronics is a relatively intensive program, and we have evidence from it was uniquely influential in students' postsecondary plans; the program's features were specifically planned to help students in this way. However, we do not want to over-claim its influence, even on students who indicate that the program changed their postsecondary plans. We include 25% attribution to account for other possible influences on postsecondary plans during this time.</t>
        </r>
      </text>
    </comment>
    <comment ref="I20" authorId="0" shapeId="0">
      <text>
        <r>
          <rPr>
            <sz val="9"/>
            <color indexed="81"/>
            <rFont val="Tahoma"/>
            <family val="2"/>
          </rPr>
          <t xml:space="preserve">High: Number of students in the grant cohort who intended to achieve this level = </t>
        </r>
        <r>
          <rPr>
            <b/>
            <sz val="9"/>
            <color indexed="81"/>
            <rFont val="Tahoma"/>
            <family val="2"/>
          </rPr>
          <t>18</t>
        </r>
        <r>
          <rPr>
            <sz val="9"/>
            <color indexed="81"/>
            <rFont val="Tahoma"/>
            <family val="2"/>
          </rPr>
          <t xml:space="preserve">
Low: number of students who iintended to achieve this level (18) * .52, the NCES STEM graduation rate for students who enter a four-year college * .42, the acceptance rate for med school *.81, the med school graduation rate = </t>
        </r>
        <r>
          <rPr>
            <b/>
            <sz val="9"/>
            <color indexed="81"/>
            <rFont val="Tahoma"/>
            <family val="2"/>
          </rPr>
          <t>3</t>
        </r>
      </text>
    </comment>
    <comment ref="M20" authorId="0" shapeId="0">
      <text>
        <r>
          <rPr>
            <sz val="9"/>
            <color indexed="81"/>
            <rFont val="Tahoma"/>
            <family val="2"/>
          </rPr>
          <t>Difference between the lifetime earnings of students with bachelor's vs. professional degrees, less the average student debt amount for professional degree</t>
        </r>
      </text>
    </comment>
    <comment ref="O20" authorId="0" shapeId="0">
      <text>
        <r>
          <rPr>
            <sz val="9"/>
            <color indexed="81"/>
            <rFont val="Tahoma"/>
            <family val="2"/>
          </rPr>
          <t>The number of students intending to get a professional degree rose from 5 to 18, indicating 28% deadweight (5/18)</t>
        </r>
      </text>
    </comment>
    <comment ref="Q20" authorId="0" shapeId="0">
      <text>
        <r>
          <rPr>
            <sz val="9"/>
            <color indexed="81"/>
            <rFont val="Tahoma"/>
            <family val="2"/>
          </rPr>
          <t>Mechatronics is a relatively intensive program, and we have evidence from it was uniquely influential in students' postsecondary plans; the program's features were specifically planned to help students in this way. However, we do not want to over-claim its influence, even on students who indicate that the program changed their postsecondary plans. We include 25% attribution to account for other possible influences on postsecondary plans during this time.</t>
        </r>
      </text>
    </comment>
    <comment ref="D22" authorId="0" shapeId="0">
      <text>
        <r>
          <rPr>
            <b/>
            <sz val="9"/>
            <color indexed="81"/>
            <rFont val="Tahoma"/>
            <family val="2"/>
          </rPr>
          <t>Andrea Beesley:</t>
        </r>
        <r>
          <rPr>
            <sz val="9"/>
            <color indexed="81"/>
            <rFont val="Tahoma"/>
            <family val="2"/>
          </rPr>
          <t xml:space="preserve">
We assume that parents were not missing wages when coming to STEM night</t>
        </r>
      </text>
    </comment>
    <comment ref="I23" authorId="0" shapeId="0">
      <text>
        <r>
          <rPr>
            <sz val="9"/>
            <color indexed="81"/>
            <rFont val="Tahoma"/>
            <family val="2"/>
          </rPr>
          <t>Assuming that all 104 mechatronics students have the ability to provide home repairs and computer services, and 25% have done so.</t>
        </r>
      </text>
    </comment>
    <comment ref="J23" authorId="0" shapeId="0">
      <text>
        <r>
          <rPr>
            <sz val="9"/>
            <color indexed="81"/>
            <rFont val="Tahoma"/>
            <family val="2"/>
          </rPr>
          <t>Devices that were repaired or updated may need similar services in two years.</t>
        </r>
      </text>
    </comment>
    <comment ref="O23" authorId="0" shapeId="0">
      <text>
        <r>
          <rPr>
            <sz val="9"/>
            <color indexed="81"/>
            <rFont val="Tahoma"/>
            <family val="2"/>
          </rPr>
          <t>Parents may otherwise have brought the device to a repair facility, which costs 30% less than in-home repair.</t>
        </r>
      </text>
    </comment>
    <comment ref="P23" authorId="0" shapeId="0">
      <text>
        <r>
          <rPr>
            <sz val="9"/>
            <color indexed="81"/>
            <rFont val="Tahoma"/>
            <family val="2"/>
          </rPr>
          <t xml:space="preserve">Without the service, people may have replaced the item, lived with the problem, or taken it to another place for repair. About 25% of users live with damage rather than seek repairs (Cnet). Replacement is becoming more popular than repair (IBISWorls). But a percentage, estimated at 25%, of repairs by mechatronics students are displaced from other local repair services. </t>
        </r>
      </text>
    </comment>
    <comment ref="D24" authorId="0" shapeId="0">
      <text>
        <r>
          <rPr>
            <sz val="9"/>
            <color indexed="81"/>
            <rFont val="Tahoma"/>
            <family val="2"/>
          </rPr>
          <t>15 hours * HR wage (occupation code = 13-1071 for GA HR specialist) * 10 interns</t>
        </r>
      </text>
    </comment>
    <comment ref="I24" authorId="0" shapeId="0">
      <text>
        <r>
          <rPr>
            <sz val="9"/>
            <color indexed="81"/>
            <rFont val="Tahoma"/>
            <family val="2"/>
          </rPr>
          <t>As many students indicated they were planning to stay in the area at least initially after graduation, they would be available for hiring. This represents half of the interns, although other mechatronics students could also be hired.</t>
        </r>
      </text>
    </comment>
    <comment ref="J24" authorId="0" shapeId="0">
      <text>
        <r>
          <rPr>
            <sz val="9"/>
            <color indexed="81"/>
            <rFont val="Tahoma"/>
            <family val="2"/>
          </rPr>
          <t>Interns who stay in the area post-program are likely to remain attractive candidates for at least three years as their skills will be current.</t>
        </r>
      </text>
    </comment>
    <comment ref="O24" authorId="0" shapeId="0">
      <text>
        <r>
          <rPr>
            <sz val="9"/>
            <color indexed="81"/>
            <rFont val="Tahoma"/>
            <family val="2"/>
          </rPr>
          <t>There is no evidence that the companies would have gotten high school interns from any other sources.</t>
        </r>
      </text>
    </comment>
    <comment ref="P24" authorId="0" shapeId="0">
      <text>
        <r>
          <rPr>
            <sz val="9"/>
            <color indexed="81"/>
            <rFont val="Tahoma"/>
            <family val="2"/>
          </rPr>
          <t>It is possible that former interns are hired in place of other candidates. However, these interns are also members of the community and may otherwise have applied and been considered like anyone else, so there is no evidence of displacement.</t>
        </r>
      </text>
    </comment>
    <comment ref="Q24" authorId="0" shapeId="0">
      <text>
        <r>
          <rPr>
            <sz val="9"/>
            <color indexed="81"/>
            <rFont val="Tahoma"/>
            <family val="2"/>
          </rPr>
          <t>There is no evidence that the companies would have gotten high school interns from any other sources.</t>
        </r>
      </text>
    </comment>
    <comment ref="R24" authorId="0" shapeId="0">
      <text>
        <r>
          <rPr>
            <sz val="9"/>
            <color indexed="81"/>
            <rFont val="Tahoma"/>
            <family val="2"/>
          </rPr>
          <t>No evidence that the effect would drop off with other interns.</t>
        </r>
      </text>
    </comment>
    <comment ref="J25" authorId="0" shapeId="0">
      <text>
        <r>
          <rPr>
            <sz val="9"/>
            <color indexed="81"/>
            <rFont val="Tahoma"/>
            <family val="2"/>
          </rPr>
          <t xml:space="preserve">Mechatronics students use state of the art technology, so their skills will be useful for at least three years post-program. After that they may need additional training. </t>
        </r>
      </text>
    </comment>
    <comment ref="O25" authorId="0" shapeId="0">
      <text>
        <r>
          <rPr>
            <sz val="9"/>
            <color indexed="81"/>
            <rFont val="Tahoma"/>
            <family val="2"/>
          </rPr>
          <t>There is no evidence that the companies would have gotten high school interns from any other sources.</t>
        </r>
      </text>
    </comment>
    <comment ref="P25" authorId="0" shapeId="0">
      <text>
        <r>
          <rPr>
            <sz val="9"/>
            <color indexed="81"/>
            <rFont val="Tahoma"/>
            <family val="2"/>
          </rPr>
          <t>It is possible that former interns are hired in place of other candidates. However, these interns are also members of the community and may otherwise have applied and been considered like anyone else, so there is no evidence of displacement.</t>
        </r>
      </text>
    </comment>
    <comment ref="Q25" authorId="0" shapeId="0">
      <text>
        <r>
          <rPr>
            <sz val="9"/>
            <color indexed="81"/>
            <rFont val="Tahoma"/>
            <family val="2"/>
          </rPr>
          <t>There is no evidence that the companies would have gotten high school interns from any other sources.</t>
        </r>
      </text>
    </comment>
    <comment ref="R25" authorId="0" shapeId="0">
      <text>
        <r>
          <rPr>
            <sz val="9"/>
            <color indexed="81"/>
            <rFont val="Tahoma"/>
            <family val="2"/>
          </rPr>
          <t>Each year employees may require some degree of new training.</t>
        </r>
      </text>
    </comment>
  </commentList>
</comments>
</file>

<file path=xl/sharedStrings.xml><?xml version="1.0" encoding="utf-8"?>
<sst xmlns="http://schemas.openxmlformats.org/spreadsheetml/2006/main" count="171" uniqueCount="146">
  <si>
    <t>Inputs</t>
  </si>
  <si>
    <t>Impact</t>
  </si>
  <si>
    <t>Description</t>
  </si>
  <si>
    <t>Indicator</t>
  </si>
  <si>
    <t>Source</t>
  </si>
  <si>
    <t>Duration</t>
  </si>
  <si>
    <t>Quantity</t>
  </si>
  <si>
    <t xml:space="preserve">    Calculating Social Return</t>
  </si>
  <si>
    <t>Total</t>
  </si>
  <si>
    <t>Present value of each year</t>
  </si>
  <si>
    <t>Total Present Value (PV)</t>
  </si>
  <si>
    <t>Year 1</t>
  </si>
  <si>
    <t>Year 2</t>
  </si>
  <si>
    <t>Year 3</t>
  </si>
  <si>
    <t>Year 4</t>
  </si>
  <si>
    <t>Year 5</t>
  </si>
  <si>
    <t>Stakeholders</t>
  </si>
  <si>
    <t>Attribution      %</t>
  </si>
  <si>
    <t>Displacement      %</t>
  </si>
  <si>
    <t>Deadweight      %</t>
  </si>
  <si>
    <t>Drop off         %</t>
  </si>
  <si>
    <t>Who else contributed to  the change?</t>
  </si>
  <si>
    <t>What activity did you displace?</t>
  </si>
  <si>
    <t>Does the outcome drop off in future years?</t>
  </si>
  <si>
    <t>Social Return on Investment - The Impact Map</t>
  </si>
  <si>
    <t>Stage 1</t>
  </si>
  <si>
    <t>Stage 2</t>
  </si>
  <si>
    <t>Stage 3</t>
  </si>
  <si>
    <t>Stage 4</t>
  </si>
  <si>
    <t>Financial Proxy</t>
  </si>
  <si>
    <t xml:space="preserve">  Discount rate</t>
  </si>
  <si>
    <t>What do you think will change for them?</t>
  </si>
  <si>
    <t>What do they invest?</t>
  </si>
  <si>
    <t>How would you measure it?</t>
  </si>
  <si>
    <t>Where did you get the information from?</t>
  </si>
  <si>
    <t>What proxy would you use to value the change?</t>
  </si>
  <si>
    <t>What would have happened without the activity?</t>
  </si>
  <si>
    <t>Quantity times financial proxy, less deadweight,displacement and attribution</t>
  </si>
  <si>
    <t xml:space="preserve">Net Present Value </t>
  </si>
  <si>
    <t>(PV minus the investment)</t>
  </si>
  <si>
    <t xml:space="preserve">Social Return </t>
  </si>
  <si>
    <r>
      <t>What is the value of the change? (</t>
    </r>
    <r>
      <rPr>
        <i/>
        <sz val="10"/>
        <rFont val="Arial"/>
        <family val="2"/>
      </rPr>
      <t>Only enter numbers)</t>
    </r>
  </si>
  <si>
    <t>Value in currency</t>
  </si>
  <si>
    <t>Year 0</t>
  </si>
  <si>
    <t>Does it start in period of activity (1) or in period after (2)</t>
  </si>
  <si>
    <t>Outcomes start</t>
  </si>
  <si>
    <t>Value per amount invested</t>
  </si>
  <si>
    <t xml:space="preserve">                                                                                                                                                                                                                                                                                                                                                                                                                                                                                                                                                                                                                                                                                                                                                                                                                                                                                                                                                                                                                                                                                         </t>
  </si>
  <si>
    <t>Outputs/Activities</t>
  </si>
  <si>
    <t>Summary of activity including numbers</t>
  </si>
  <si>
    <t>Increased parent STEM knowledge</t>
  </si>
  <si>
    <t xml:space="preserve">Who do we have an effect on?                          </t>
  </si>
  <si>
    <t xml:space="preserve">What is the value of the inputs in currency </t>
  </si>
  <si>
    <t>Increased achievement, higher graduation rates, interest in STEM careers, academic success in math,  self-management, interest in STEM careers, competing in SKILLS USA, Technical College System of Georgia credits, improved communications skills, improved academic habits and school attitudes, improved attitudes toward STEM</t>
  </si>
  <si>
    <t>How did the stakeholder describe the changes?</t>
  </si>
  <si>
    <t xml:space="preserve">Interns, students trained and ready for work after high school, input into software and equipment </t>
  </si>
  <si>
    <t>The Outcomes (what changed)</t>
  </si>
  <si>
    <t>Intended changes</t>
  </si>
  <si>
    <t>School elective class time, time participating in SKILLS USA, internship time</t>
  </si>
  <si>
    <t>Additional space in school building, additional instructor for more mechatronics classes, relationship with MTC</t>
  </si>
  <si>
    <t>Interview</t>
  </si>
  <si>
    <t>Mechatronics classes, mechatronics equipment, manufacturing career pathway</t>
  </si>
  <si>
    <t>Number of students participating in career pathway
Number of schools/students with replicated programs</t>
  </si>
  <si>
    <t>New opportunity to grow program</t>
  </si>
  <si>
    <t>Community/region</t>
  </si>
  <si>
    <t>Time to come to family STEM nights</t>
  </si>
  <si>
    <t>Intern mentoring time (the same as other new employees)</t>
  </si>
  <si>
    <t>Expertise and equipment from previous RAMP grant program, assessment costs, connections with local industry, 1.5 FTE instructors, relationship with school, relationships with industry, experience with large grants</t>
  </si>
  <si>
    <t>Class sections taught by instructors, high school coordinator, enrollment for participating students, summer camp. Students completing certificate programs.</t>
  </si>
  <si>
    <t>New program/course to replace non-career-aligned engineering course, new industry-standard equipment, higher graduation rates</t>
  </si>
  <si>
    <t>Family STEM learning events, 26 parents/year</t>
  </si>
  <si>
    <t>10 interns x 15 hr/week</t>
  </si>
  <si>
    <t>Number of articles and other media pieces about mechatronics</t>
  </si>
  <si>
    <t>Media file from program director</t>
  </si>
  <si>
    <t>Interview, evaluation reports</t>
  </si>
  <si>
    <t>Interviews, evaluation reports</t>
  </si>
  <si>
    <t>New mechatronics career pathway, successful Innovation Fund grantee</t>
  </si>
  <si>
    <t>Monitored and supported grantees, disseminated career pathway</t>
  </si>
  <si>
    <t>Interviews, communications from program leaders</t>
  </si>
  <si>
    <r>
      <t>How long does it last after end of activity, in years? (</t>
    </r>
    <r>
      <rPr>
        <i/>
        <sz val="10"/>
        <rFont val="Arial"/>
        <family val="2"/>
      </rPr>
      <t>Only enter numbers)</t>
    </r>
  </si>
  <si>
    <t>Size of new award</t>
  </si>
  <si>
    <t>GOSA IF web site</t>
  </si>
  <si>
    <t>http://gosa.georgia.gov/sites/gosa.georgia.gov/files/Innovation%20Fund%20Highest%20Rated%20Grant%20Summaries_Final%2012.12.14.pdf</t>
  </si>
  <si>
    <t>Presence and use of mechatronics equipment
Number of students participating in SKILLS USA, number of titles won
Parental attendance at STEM nights
Course descriptions
Number of media pieces on mechatronics program</t>
  </si>
  <si>
    <t>Size of new IF award</t>
  </si>
  <si>
    <t xml:space="preserve">
Student applications and enrollments</t>
  </si>
  <si>
    <t>Personal communication from MTC leaders</t>
  </si>
  <si>
    <r>
      <t>Sum</t>
    </r>
    <r>
      <rPr>
        <sz val="10"/>
        <color theme="1"/>
        <rFont val="Calibri"/>
        <family val="2"/>
      </rPr>
      <t>mer camp (about 25 students per year),</t>
    </r>
    <r>
      <rPr>
        <sz val="10"/>
        <rFont val="Calibri"/>
        <family val="2"/>
      </rPr>
      <t xml:space="preserve"> 10 grant-paid internships, MTC credits and certificates (Basic Technician, Basic Specialist, and Mechatronics Specialist), field trips to local industry, mechatronics  class, SKILLS USA local and national competitions. 72 students in grant-funded cohort, 32 students in additional course sections. 10 interns.</t>
    </r>
  </si>
  <si>
    <t>Cost of one credit at MTC, for a student taking 6 credits in a semester</t>
  </si>
  <si>
    <t>http://www.moultrietech.edu/admissions/tuition.php</t>
  </si>
  <si>
    <t>Bureau of Labor Statistics</t>
  </si>
  <si>
    <t>Amount earned in a summer working 30 hours a week for nine weeks at $15/hr</t>
  </si>
  <si>
    <t>Number of students intending to graduate HS</t>
  </si>
  <si>
    <t>Number of students intending to graduate from 2-year college</t>
  </si>
  <si>
    <t>Nmber of students intending to graduate from 4-year college</t>
  </si>
  <si>
    <t>Number of students intending to graduate from graduate school</t>
  </si>
  <si>
    <t>Number of students intending to graduate from professional school</t>
  </si>
  <si>
    <t>Carnevale et al. (2011)</t>
  </si>
  <si>
    <t>Diversity of assessment scores among mechatronics students
Student perceptions of  study habits and self-regulation
SKILLS USA participation and results
Number of students passing COMPASS and EOCT</t>
  </si>
  <si>
    <t xml:space="preserve">Parents' perceptions of students' attitudes and plans
Students' and parents' reports of helping parents with electronics and mechanics
</t>
  </si>
  <si>
    <t>Cost of in-home computer repair or support</t>
  </si>
  <si>
    <t>www.geeksquad.com</t>
  </si>
  <si>
    <t>Interviews, personal communication from program directors</t>
  </si>
  <si>
    <t>Cost to train employee in advanced manufacturing</t>
  </si>
  <si>
    <t>Cost to recruit employee</t>
  </si>
  <si>
    <t>BLS (May 2013)</t>
  </si>
  <si>
    <t>Dual enrollment funding generated by 107 Mechatronics students</t>
  </si>
  <si>
    <t>Interviews, SY 12-13 and 13-14 external evaluation reports, personal communication from program leaders</t>
  </si>
  <si>
    <t>Interviews, SY 12-13 and 13-14 external evaluation reports, personal communication from MTC leaders</t>
  </si>
  <si>
    <t>Average cost of smartphone screen repair</t>
  </si>
  <si>
    <t>Apple, Inc., Tift County local repair service estimate</t>
  </si>
  <si>
    <t>Change in lifetime earnings of HS grads</t>
  </si>
  <si>
    <t>Change in lifetime earnings of 2-year college grads</t>
  </si>
  <si>
    <t>Change in lifetime earnings of 4-year college grads</t>
  </si>
  <si>
    <t>Change in  lifetime earnings of graduate school grads</t>
  </si>
  <si>
    <t>Change in lifetime earnings of professional school grads</t>
  </si>
  <si>
    <t>Grant funding (both IF grants), equipment donation (Ga DOE)</t>
  </si>
  <si>
    <t>Unexpected/not monetized: higher profile in community, future opportunity to grow program
Not yet seen: maybe more prepared students will enroll at MTC, but too soon to tell; 7 have applied to MTC.</t>
  </si>
  <si>
    <t>Expected/not monetized: more specific postsecondary plans,  higher self-efficacy in STEM, better grades/study habits/work ethic, improved attitdues about school.
Unexpected/not monetized: experience of diversity, as course attracts students who would otherwise not have planned on college as well as higher-achieving students who would not normally take a CTAE class, parent interest sustains program participation.
Outcomes not yet seen: Higher EOCT scores, higher graduation rate</t>
  </si>
  <si>
    <t>Expected/not monetized: mechatronics courses replace outdated engineering program, school and state have mechatronics career pathway.
Unexpected/not monetized: national SKILLS USA titles, increased attention to and respect of CTAE courses, higher than expected parental involvement, course aligned to math and ELA standards, interdepartmental connections with journalism, physics; local, state, and regional publicity for quality of program and interest in replication
Expected/not yet seen: increases in graduation rate</t>
  </si>
  <si>
    <t>Unexpected/monetized: Funding from GOSA Innovation Fund to replicate the program in another school</t>
  </si>
  <si>
    <t>Unexpected/monetized: Service fixing iPhones, computers, and other electronics to fund SKILLS USA club</t>
  </si>
  <si>
    <t>Unexpected/monetized: more dual enrollment funding from state</t>
  </si>
  <si>
    <t>Unexpected/monetized: Skilled summer jobs, such as IT support</t>
  </si>
  <si>
    <t>Expected/monetized: Postsecondary credits</t>
  </si>
  <si>
    <t>Expected/monetized: higher education and career aspirations</t>
  </si>
  <si>
    <t>Unexpected/monetized: students build computers for parents, do other home electronics repairs.</t>
  </si>
  <si>
    <t>Unexpected/monetized: Having a source of current and future employees, simplifying recruiting</t>
  </si>
  <si>
    <t>Unexpected/monetized: Hiring employess who do not need initial technical training</t>
  </si>
  <si>
    <t>Unexpected/not monetized: pride in quality of mechatronics program</t>
  </si>
  <si>
    <t>Expected/not monetized: increased parent STEM knowledge
Unexpected/not monetized: less worry about students' performance and postsecondary plans, better communication and relationship, connections with other parents at STEM nights</t>
  </si>
  <si>
    <t>Expected/not monetized: new mechatronics career pathway
Unexpected/not monetized, not yet occurred: program replicated in other schools</t>
  </si>
  <si>
    <t>Level of dual enrollment and other funding from increased enrollment</t>
  </si>
  <si>
    <t>Number of Technical College System of Georgia credits earned</t>
  </si>
  <si>
    <t>Number of skilled summer jobs</t>
  </si>
  <si>
    <t>Number of repairs performed</t>
  </si>
  <si>
    <t>Number of students hired as employees</t>
  </si>
  <si>
    <t>Personal communication from program leaders</t>
  </si>
  <si>
    <t>School/district (project director, district CTAE director, school principal, external evaluator interviewed)</t>
  </si>
  <si>
    <t>Moultrie Technical College (mechatronics instructor, institutional support director interviewed)</t>
  </si>
  <si>
    <t>Students (five seniors interviewed, one who has internship)</t>
  </si>
  <si>
    <t>State (current and former IF program directors interviewed)</t>
  </si>
  <si>
    <t>Parents (three interviewed)</t>
  </si>
  <si>
    <t>Industry partners (representative of industry with mechatronics intern interviewed)</t>
  </si>
  <si>
    <t>Proposal, interviews, evaluation report (student skills and knowledge assessment, student surveys, program records, EOCT test scores, COMPASS and WorkKeys assessments), ALSQ results, personal communication from program leaders</t>
  </si>
  <si>
    <t>ALSQ</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</si>
</sst>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0.0%"/>
    <numFmt numFmtId="165" formatCode="0.0"/>
    <numFmt numFmtId="166" formatCode="&quot;£&quot;#,##0.00"/>
    <numFmt numFmtId="167" formatCode="_(&quot;$&quot;* #,##0_);_(&quot;$&quot;* \(#,##0\);_(&quot;$&quot;* &quot;-&quot;??_);_(@_)"/>
  </numFmts>
  <fonts count="20" x14ac:knownFonts="1">
    <font>
      <sz val="10"/>
      <name val="Arial"/>
    </font>
    <font>
      <sz val="10"/>
      <name val="Arial"/>
      <family val="2"/>
    </font>
    <font>
      <b/>
      <sz val="10"/>
      <name val="Arial"/>
      <family val="2"/>
    </font>
    <font>
      <b/>
      <sz val="12"/>
      <name val="Arial"/>
      <family val="2"/>
    </font>
    <font>
      <sz val="14"/>
      <name val="Arial"/>
      <family val="2"/>
    </font>
    <font>
      <sz val="12"/>
      <name val="Arial"/>
      <family val="2"/>
    </font>
    <font>
      <sz val="10"/>
      <color theme="0"/>
      <name val="Arial"/>
      <family val="2"/>
    </font>
    <font>
      <sz val="14"/>
      <color theme="0"/>
      <name val="Arial"/>
      <family val="2"/>
    </font>
    <font>
      <sz val="14"/>
      <color rgb="FFFF0000"/>
      <name val="Calibri"/>
      <family val="2"/>
      <scheme val="minor"/>
    </font>
    <font>
      <b/>
      <sz val="12"/>
      <color theme="0"/>
      <name val="Arial"/>
      <family val="2"/>
    </font>
    <font>
      <b/>
      <sz val="12"/>
      <name val="Calibri"/>
      <family val="2"/>
      <scheme val="minor"/>
    </font>
    <font>
      <b/>
      <sz val="14"/>
      <color theme="0"/>
      <name val="Arial"/>
      <family val="2"/>
    </font>
    <font>
      <i/>
      <sz val="10"/>
      <name val="Arial"/>
      <family val="2"/>
    </font>
    <font>
      <sz val="10"/>
      <name val="Calibri"/>
      <family val="2"/>
    </font>
    <font>
      <sz val="10"/>
      <name val="Arial"/>
      <family val="2"/>
    </font>
    <font>
      <sz val="10"/>
      <color theme="1"/>
      <name val="Calibri"/>
      <family val="2"/>
    </font>
    <font>
      <sz val="10"/>
      <name val="Arial"/>
      <family val="2"/>
    </font>
    <font>
      <u/>
      <sz val="10"/>
      <color theme="10"/>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6CCBE"/>
        <bgColor indexed="64"/>
      </patternFill>
    </fill>
    <fill>
      <patternFill patternType="solid">
        <fgColor rgb="FFFED230"/>
        <bgColor indexed="64"/>
      </patternFill>
    </fill>
    <fill>
      <patternFill patternType="solid">
        <fgColor rgb="FFF2007F"/>
        <bgColor indexed="64"/>
      </patternFill>
    </fill>
    <fill>
      <patternFill patternType="solid">
        <fgColor rgb="FFFFFF00"/>
        <bgColor indexed="64"/>
      </patternFill>
    </fill>
    <fill>
      <patternFill patternType="solid">
        <fgColor rgb="FFE1E2D4"/>
        <bgColor indexed="64"/>
      </patternFill>
    </fill>
    <fill>
      <patternFill patternType="solid">
        <fgColor theme="2" tint="-9.9978637043366805E-2"/>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theme="0"/>
      </top>
      <bottom style="thin">
        <color theme="0"/>
      </bottom>
      <diagonal/>
    </border>
    <border>
      <left style="thin">
        <color indexed="64"/>
      </left>
      <right style="thin">
        <color indexed="64"/>
      </right>
      <top style="thin">
        <color theme="0"/>
      </top>
      <bottom style="thin">
        <color theme="0"/>
      </bottom>
      <diagonal/>
    </border>
    <border>
      <left style="medium">
        <color rgb="FF06CCBE"/>
      </left>
      <right style="medium">
        <color rgb="FF06CCBE"/>
      </right>
      <top style="medium">
        <color rgb="FF06CCBE"/>
      </top>
      <bottom style="medium">
        <color rgb="FF06CCBE"/>
      </bottom>
      <diagonal/>
    </border>
    <border>
      <left style="thin">
        <color indexed="64"/>
      </left>
      <right style="medium">
        <color rgb="FF06CCBE"/>
      </right>
      <top style="thin">
        <color indexed="64"/>
      </top>
      <bottom/>
      <diagonal/>
    </border>
    <border>
      <left style="medium">
        <color rgb="FF06CCBE"/>
      </left>
      <right style="thin">
        <color indexed="64"/>
      </right>
      <top style="thin">
        <color indexed="64"/>
      </top>
      <bottom/>
      <diagonal/>
    </border>
    <border>
      <left style="thin">
        <color indexed="64"/>
      </left>
      <right style="medium">
        <color rgb="FF06CCBE"/>
      </right>
      <top/>
      <bottom style="thin">
        <color indexed="64"/>
      </bottom>
      <diagonal/>
    </border>
    <border>
      <left style="medium">
        <color rgb="FF06CCBE"/>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theme="0"/>
      </top>
      <bottom/>
      <diagonal/>
    </border>
    <border>
      <left/>
      <right/>
      <top/>
      <bottom style="thin">
        <color theme="0"/>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s>
  <cellStyleXfs count="4">
    <xf numFmtId="0" fontId="0" fillId="0" borderId="0"/>
    <xf numFmtId="44" fontId="14"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cellStyleXfs>
  <cellXfs count="148">
    <xf numFmtId="0" fontId="0" fillId="0" borderId="0" xfId="0"/>
    <xf numFmtId="165" fontId="1" fillId="0" borderId="0" xfId="0" applyNumberFormat="1" applyFont="1" applyAlignment="1" applyProtection="1">
      <alignment wrapText="1"/>
    </xf>
    <xf numFmtId="166" fontId="1" fillId="0" borderId="0" xfId="0" applyNumberFormat="1" applyFont="1" applyAlignment="1" applyProtection="1">
      <alignment wrapText="1"/>
    </xf>
    <xf numFmtId="165" fontId="1" fillId="2" borderId="0" xfId="0" applyNumberFormat="1" applyFont="1" applyFill="1" applyBorder="1" applyAlignment="1" applyProtection="1">
      <alignment wrapText="1"/>
    </xf>
    <xf numFmtId="165" fontId="1" fillId="0" borderId="0" xfId="0" applyNumberFormat="1" applyFont="1" applyBorder="1" applyAlignment="1" applyProtection="1">
      <alignment wrapText="1"/>
    </xf>
    <xf numFmtId="166" fontId="1" fillId="0" borderId="0" xfId="0" applyNumberFormat="1" applyFont="1" applyBorder="1" applyAlignment="1" applyProtection="1">
      <alignment wrapText="1"/>
    </xf>
    <xf numFmtId="4" fontId="1" fillId="0" borderId="6" xfId="0" applyNumberFormat="1" applyFont="1" applyBorder="1" applyAlignment="1" applyProtection="1">
      <alignment horizontal="right" vertical="center" wrapText="1"/>
    </xf>
    <xf numFmtId="165" fontId="2" fillId="2" borderId="18" xfId="0" applyNumberFormat="1" applyFont="1" applyFill="1" applyBorder="1" applyAlignment="1" applyProtection="1"/>
    <xf numFmtId="165" fontId="2" fillId="2" borderId="20" xfId="0" applyNumberFormat="1" applyFont="1" applyFill="1" applyBorder="1" applyAlignment="1" applyProtection="1"/>
    <xf numFmtId="4" fontId="1" fillId="0" borderId="3" xfId="0" applyNumberFormat="1" applyFont="1" applyBorder="1" applyAlignment="1" applyProtection="1">
      <alignment vertical="center" wrapText="1"/>
    </xf>
    <xf numFmtId="4" fontId="1" fillId="0" borderId="0" xfId="0" applyNumberFormat="1" applyFont="1" applyAlignment="1" applyProtection="1">
      <alignment wrapText="1"/>
    </xf>
    <xf numFmtId="4" fontId="1" fillId="0" borderId="3" xfId="0" applyNumberFormat="1" applyFont="1" applyBorder="1" applyAlignment="1" applyProtection="1">
      <alignment wrapText="1"/>
    </xf>
    <xf numFmtId="4" fontId="1" fillId="0" borderId="9" xfId="0" applyNumberFormat="1" applyFont="1" applyBorder="1" applyAlignment="1" applyProtection="1">
      <alignment wrapText="1"/>
    </xf>
    <xf numFmtId="4" fontId="1" fillId="0" borderId="2" xfId="0" applyNumberFormat="1" applyFont="1" applyBorder="1" applyAlignment="1" applyProtection="1">
      <alignment wrapText="1"/>
    </xf>
    <xf numFmtId="4" fontId="1" fillId="0" borderId="1" xfId="0" applyNumberFormat="1" applyFont="1" applyBorder="1" applyAlignment="1" applyProtection="1">
      <alignment horizontal="right" vertical="center" wrapText="1"/>
    </xf>
    <xf numFmtId="4" fontId="1" fillId="0" borderId="0" xfId="0" applyNumberFormat="1" applyFont="1" applyBorder="1" applyAlignment="1" applyProtection="1">
      <alignment wrapText="1"/>
    </xf>
    <xf numFmtId="4" fontId="1" fillId="0" borderId="0" xfId="0" applyNumberFormat="1" applyFont="1" applyBorder="1" applyAlignment="1" applyProtection="1">
      <alignment horizontal="right" vertical="center" wrapText="1"/>
    </xf>
    <xf numFmtId="0" fontId="4" fillId="4" borderId="0" xfId="0" applyFont="1" applyFill="1" applyAlignment="1" applyProtection="1">
      <alignment wrapText="1"/>
    </xf>
    <xf numFmtId="166" fontId="4" fillId="4" borderId="0" xfId="0" applyNumberFormat="1" applyFont="1" applyFill="1" applyAlignment="1" applyProtection="1">
      <alignment wrapText="1"/>
    </xf>
    <xf numFmtId="0" fontId="4" fillId="0" borderId="11" xfId="0" applyFont="1" applyFill="1" applyBorder="1" applyAlignment="1" applyProtection="1">
      <alignment wrapText="1"/>
    </xf>
    <xf numFmtId="0" fontId="4" fillId="0" borderId="0" xfId="0" applyFont="1" applyFill="1" applyBorder="1" applyAlignment="1" applyProtection="1">
      <alignment wrapText="1"/>
    </xf>
    <xf numFmtId="0" fontId="4" fillId="3" borderId="0" xfId="0" applyFont="1" applyFill="1" applyAlignment="1" applyProtection="1">
      <alignment wrapText="1"/>
    </xf>
    <xf numFmtId="0" fontId="4" fillId="0" borderId="0" xfId="0" applyFont="1" applyFill="1" applyAlignment="1" applyProtection="1">
      <alignment wrapText="1"/>
    </xf>
    <xf numFmtId="0" fontId="9" fillId="3" borderId="0" xfId="0" applyFont="1" applyFill="1" applyAlignment="1" applyProtection="1">
      <alignment horizontal="center"/>
    </xf>
    <xf numFmtId="0" fontId="1" fillId="3" borderId="0" xfId="0" applyFont="1" applyFill="1" applyAlignment="1" applyProtection="1">
      <alignment wrapText="1"/>
    </xf>
    <xf numFmtId="166" fontId="1" fillId="3" borderId="0" xfId="0" applyNumberFormat="1" applyFont="1" applyFill="1" applyAlignment="1" applyProtection="1">
      <alignment wrapText="1"/>
    </xf>
    <xf numFmtId="0" fontId="1" fillId="0" borderId="11" xfId="0" applyFont="1" applyFill="1" applyBorder="1" applyAlignment="1" applyProtection="1">
      <alignment wrapText="1"/>
    </xf>
    <xf numFmtId="0" fontId="1" fillId="0" borderId="0" xfId="0" applyFont="1" applyFill="1" applyBorder="1" applyAlignment="1" applyProtection="1">
      <alignment wrapText="1"/>
    </xf>
    <xf numFmtId="0" fontId="1" fillId="0" borderId="0" xfId="0" applyFont="1" applyFill="1" applyAlignment="1" applyProtection="1">
      <alignment wrapText="1"/>
    </xf>
    <xf numFmtId="0" fontId="7" fillId="3" borderId="0" xfId="0" applyFont="1" applyFill="1" applyAlignment="1" applyProtection="1">
      <alignment horizontal="left" vertical="center"/>
    </xf>
    <xf numFmtId="0" fontId="8" fillId="3" borderId="0" xfId="0" applyFont="1" applyFill="1" applyAlignment="1" applyProtection="1">
      <alignment horizontal="left" vertical="center"/>
    </xf>
    <xf numFmtId="0" fontId="6" fillId="3" borderId="0" xfId="0" applyFont="1" applyFill="1" applyAlignment="1" applyProtection="1">
      <alignment horizontal="center" vertical="center" wrapText="1"/>
    </xf>
    <xf numFmtId="166" fontId="6" fillId="3" borderId="0" xfId="0" applyNumberFormat="1" applyFont="1" applyFill="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0" fontId="3" fillId="5" borderId="0" xfId="0" applyFont="1" applyFill="1" applyAlignment="1" applyProtection="1">
      <alignment vertical="center"/>
    </xf>
    <xf numFmtId="0" fontId="10" fillId="5" borderId="0" xfId="0" applyFont="1" applyFill="1" applyAlignment="1" applyProtection="1">
      <alignment vertical="center"/>
    </xf>
    <xf numFmtId="0" fontId="3" fillId="6" borderId="0" xfId="0" applyFont="1" applyFill="1" applyAlignment="1" applyProtection="1">
      <alignment vertical="center" wrapText="1"/>
    </xf>
    <xf numFmtId="0" fontId="3" fillId="4" borderId="0" xfId="0" applyFont="1" applyFill="1" applyAlignment="1" applyProtection="1">
      <alignment vertical="center" wrapText="1"/>
    </xf>
    <xf numFmtId="166" fontId="3" fillId="4" borderId="0" xfId="0" applyNumberFormat="1" applyFont="1" applyFill="1" applyAlignment="1" applyProtection="1">
      <alignment vertical="center" wrapText="1"/>
    </xf>
    <xf numFmtId="0" fontId="3" fillId="7" borderId="0" xfId="0" applyFont="1" applyFill="1" applyAlignment="1" applyProtection="1">
      <alignment vertical="center" wrapText="1"/>
    </xf>
    <xf numFmtId="0" fontId="3" fillId="0" borderId="11"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3" borderId="0" xfId="0" applyFont="1" applyFill="1" applyAlignment="1" applyProtection="1">
      <alignment vertical="center"/>
    </xf>
    <xf numFmtId="0" fontId="3" fillId="3" borderId="0" xfId="0" applyFont="1" applyFill="1" applyAlignment="1" applyProtection="1">
      <alignment vertical="center" wrapText="1"/>
    </xf>
    <xf numFmtId="166" fontId="3" fillId="3" borderId="0" xfId="0" applyNumberFormat="1" applyFont="1" applyFill="1" applyAlignment="1" applyProtection="1">
      <alignment vertical="center" wrapText="1"/>
    </xf>
    <xf numFmtId="0" fontId="3" fillId="0" borderId="0" xfId="0" applyFont="1" applyFill="1" applyAlignment="1" applyProtection="1">
      <alignment vertical="center" wrapText="1"/>
    </xf>
    <xf numFmtId="0" fontId="3" fillId="8" borderId="6" xfId="0" applyFont="1" applyFill="1" applyBorder="1" applyAlignment="1" applyProtection="1">
      <alignment horizontal="left" vertical="center" wrapText="1"/>
    </xf>
    <xf numFmtId="0" fontId="3" fillId="8" borderId="8" xfId="0" applyFont="1" applyFill="1" applyBorder="1" applyAlignment="1" applyProtection="1">
      <alignment horizontal="left" vertical="center" wrapText="1"/>
    </xf>
    <xf numFmtId="0" fontId="3" fillId="8" borderId="10"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5" fillId="3" borderId="0" xfId="0" applyFont="1" applyFill="1" applyAlignment="1" applyProtection="1">
      <alignment horizontal="left" vertical="center" wrapText="1"/>
    </xf>
    <xf numFmtId="0" fontId="5" fillId="0" borderId="0" xfId="0" applyFont="1" applyFill="1" applyAlignment="1" applyProtection="1">
      <alignment horizontal="left" vertical="center" wrapText="1"/>
    </xf>
    <xf numFmtId="0" fontId="5" fillId="8" borderId="0" xfId="0" applyFont="1" applyFill="1" applyAlignment="1" applyProtection="1">
      <alignment horizontal="left" vertical="center" wrapText="1"/>
    </xf>
    <xf numFmtId="0" fontId="1" fillId="10" borderId="13" xfId="0" applyFont="1" applyFill="1" applyBorder="1" applyAlignment="1" applyProtection="1">
      <alignment horizontal="left" vertical="top" wrapText="1"/>
    </xf>
    <xf numFmtId="166" fontId="1" fillId="10" borderId="13" xfId="0" applyNumberFormat="1" applyFont="1" applyFill="1" applyBorder="1" applyAlignment="1" applyProtection="1">
      <alignment horizontal="left" vertical="top" wrapText="1"/>
    </xf>
    <xf numFmtId="0" fontId="1" fillId="3" borderId="11" xfId="0" applyFont="1" applyFill="1" applyBorder="1" applyAlignment="1" applyProtection="1">
      <alignment horizontal="left" vertical="top" wrapText="1"/>
    </xf>
    <xf numFmtId="164" fontId="1" fillId="10" borderId="3" xfId="0" applyNumberFormat="1" applyFont="1" applyFill="1" applyBorder="1" applyAlignment="1" applyProtection="1">
      <alignment horizontal="left" vertical="top" wrapText="1"/>
    </xf>
    <xf numFmtId="164" fontId="1" fillId="10" borderId="7" xfId="0" applyNumberFormat="1"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164" fontId="1" fillId="0" borderId="3" xfId="0" applyNumberFormat="1" applyFont="1" applyFill="1" applyBorder="1" applyAlignment="1" applyProtection="1">
      <alignment horizontal="left" vertical="top" wrapText="1"/>
    </xf>
    <xf numFmtId="164" fontId="1" fillId="9" borderId="7" xfId="0" applyNumberFormat="1" applyFont="1" applyFill="1" applyBorder="1" applyAlignment="1" applyProtection="1">
      <alignment horizontal="left" vertical="top" wrapText="1"/>
    </xf>
    <xf numFmtId="0" fontId="1" fillId="3" borderId="0" xfId="0" applyFont="1" applyFill="1" applyAlignment="1" applyProtection="1">
      <alignment horizontal="left" vertical="top" wrapText="1"/>
    </xf>
    <xf numFmtId="0" fontId="1" fillId="0" borderId="0" xfId="0" applyFont="1" applyFill="1" applyAlignment="1" applyProtection="1">
      <alignment horizontal="left" vertical="top" wrapText="1"/>
    </xf>
    <xf numFmtId="0" fontId="1" fillId="8" borderId="0" xfId="0" applyFont="1" applyFill="1" applyAlignment="1" applyProtection="1">
      <alignment horizontal="left" vertical="top" wrapText="1"/>
    </xf>
    <xf numFmtId="0" fontId="2" fillId="10" borderId="3" xfId="0" applyFont="1" applyFill="1" applyBorder="1" applyAlignment="1" applyProtection="1">
      <alignment horizontal="left" vertical="top" wrapText="1"/>
    </xf>
    <xf numFmtId="166" fontId="2" fillId="10" borderId="3" xfId="0" applyNumberFormat="1" applyFont="1" applyFill="1" applyBorder="1" applyAlignment="1" applyProtection="1">
      <alignment horizontal="left" vertical="top" wrapText="1"/>
    </xf>
    <xf numFmtId="0" fontId="2" fillId="8" borderId="3" xfId="0" applyFont="1" applyFill="1" applyBorder="1" applyAlignment="1" applyProtection="1">
      <alignment horizontal="left" vertical="top" wrapText="1"/>
    </xf>
    <xf numFmtId="166" fontId="2" fillId="8" borderId="3" xfId="0" applyNumberFormat="1" applyFont="1" applyFill="1" applyBorder="1" applyAlignment="1" applyProtection="1">
      <alignment horizontal="left" vertical="top" wrapText="1"/>
    </xf>
    <xf numFmtId="0" fontId="13" fillId="0" borderId="24" xfId="0" applyFont="1" applyBorder="1" applyAlignment="1" applyProtection="1">
      <alignment horizontal="left" vertical="center" wrapText="1"/>
    </xf>
    <xf numFmtId="0" fontId="13" fillId="3" borderId="24" xfId="0" applyFont="1" applyFill="1" applyBorder="1" applyAlignment="1" applyProtection="1">
      <alignment horizontal="left" vertical="center" wrapText="1"/>
    </xf>
    <xf numFmtId="167" fontId="13" fillId="0" borderId="24" xfId="1" applyNumberFormat="1" applyFont="1" applyBorder="1" applyAlignment="1" applyProtection="1">
      <alignment horizontal="left" vertical="center" wrapText="1"/>
    </xf>
    <xf numFmtId="9" fontId="13" fillId="0" borderId="24" xfId="2" applyFont="1" applyFill="1" applyBorder="1" applyAlignment="1" applyProtection="1">
      <alignment horizontal="left" vertical="center" wrapText="1"/>
    </xf>
    <xf numFmtId="9" fontId="13" fillId="0" borderId="24" xfId="2" applyFont="1" applyBorder="1" applyAlignment="1" applyProtection="1">
      <alignment horizontal="left" vertical="center" wrapText="1"/>
    </xf>
    <xf numFmtId="4" fontId="1" fillId="0" borderId="12" xfId="0" applyNumberFormat="1" applyFont="1" applyFill="1" applyBorder="1" applyAlignment="1" applyProtection="1">
      <alignment vertical="center" wrapText="1"/>
    </xf>
    <xf numFmtId="4" fontId="1" fillId="0" borderId="23" xfId="0" applyNumberFormat="1" applyFont="1" applyFill="1" applyBorder="1" applyAlignment="1" applyProtection="1">
      <alignment vertical="center" wrapText="1"/>
    </xf>
    <xf numFmtId="0" fontId="1" fillId="3" borderId="0" xfId="0" applyFont="1" applyFill="1" applyAlignment="1" applyProtection="1">
      <alignment vertical="center" wrapText="1"/>
    </xf>
    <xf numFmtId="0" fontId="1" fillId="0" borderId="0" xfId="0" applyFont="1" applyFill="1" applyAlignment="1" applyProtection="1">
      <alignment vertical="center" wrapText="1"/>
    </xf>
    <xf numFmtId="0" fontId="1" fillId="0" borderId="0" xfId="0" applyFont="1" applyAlignment="1" applyProtection="1">
      <alignment vertical="center" wrapText="1"/>
    </xf>
    <xf numFmtId="0" fontId="17" fillId="0" borderId="24" xfId="3" applyBorder="1" applyAlignment="1" applyProtection="1">
      <alignment horizontal="left" vertical="center" wrapText="1"/>
    </xf>
    <xf numFmtId="0" fontId="13" fillId="0" borderId="27" xfId="0" applyFont="1" applyBorder="1" applyAlignment="1" applyProtection="1">
      <alignment horizontal="left" vertical="center" wrapText="1"/>
    </xf>
    <xf numFmtId="44" fontId="13" fillId="0" borderId="27" xfId="1" applyFont="1" applyBorder="1" applyAlignment="1" applyProtection="1">
      <alignment horizontal="left" vertical="center" wrapText="1"/>
    </xf>
    <xf numFmtId="44" fontId="13" fillId="0" borderId="24" xfId="1" applyFont="1" applyBorder="1" applyAlignment="1" applyProtection="1">
      <alignment horizontal="left" vertical="center" wrapText="1"/>
    </xf>
    <xf numFmtId="0" fontId="1" fillId="0" borderId="3" xfId="0" applyFont="1" applyBorder="1" applyAlignment="1" applyProtection="1">
      <alignment vertical="center" wrapText="1"/>
    </xf>
    <xf numFmtId="0" fontId="17" fillId="0" borderId="3" xfId="3" applyBorder="1" applyAlignment="1" applyProtection="1">
      <alignment vertical="center" wrapText="1"/>
    </xf>
    <xf numFmtId="167" fontId="13" fillId="0" borderId="24" xfId="1" applyNumberFormat="1" applyFont="1" applyFill="1" applyBorder="1" applyAlignment="1" applyProtection="1">
      <alignment horizontal="left" vertical="center" wrapText="1"/>
    </xf>
    <xf numFmtId="0" fontId="1" fillId="0" borderId="0" xfId="0" applyFont="1" applyAlignment="1" applyProtection="1">
      <alignment wrapText="1"/>
    </xf>
    <xf numFmtId="44" fontId="1" fillId="0" borderId="0" xfId="1" applyFont="1" applyAlignment="1" applyProtection="1">
      <alignment wrapText="1"/>
    </xf>
    <xf numFmtId="0" fontId="1" fillId="0" borderId="0" xfId="0" applyFont="1" applyAlignment="1" applyProtection="1">
      <alignment horizontal="center" wrapText="1"/>
    </xf>
    <xf numFmtId="4" fontId="1" fillId="0" borderId="11" xfId="0" applyNumberFormat="1" applyFont="1" applyFill="1" applyBorder="1" applyAlignment="1" applyProtection="1">
      <alignment wrapText="1"/>
    </xf>
    <xf numFmtId="4" fontId="1" fillId="0" borderId="0" xfId="0" applyNumberFormat="1" applyFont="1" applyFill="1" applyBorder="1" applyAlignment="1" applyProtection="1">
      <alignment wrapText="1"/>
    </xf>
    <xf numFmtId="0" fontId="3" fillId="0" borderId="3" xfId="0" applyFont="1" applyBorder="1" applyAlignment="1" applyProtection="1">
      <alignment wrapText="1"/>
    </xf>
    <xf numFmtId="0" fontId="1" fillId="0" borderId="0" xfId="0" applyFont="1" applyBorder="1" applyAlignment="1" applyProtection="1">
      <alignment wrapText="1"/>
    </xf>
    <xf numFmtId="0" fontId="1" fillId="3" borderId="0" xfId="0" applyFont="1" applyFill="1" applyBorder="1" applyAlignment="1" applyProtection="1">
      <alignment wrapText="1"/>
    </xf>
    <xf numFmtId="0" fontId="1" fillId="0" borderId="0" xfId="0" applyFont="1" applyBorder="1" applyAlignment="1" applyProtection="1">
      <alignment horizontal="center" wrapText="1"/>
    </xf>
    <xf numFmtId="0" fontId="1" fillId="0" borderId="21" xfId="0" applyFont="1" applyFill="1" applyBorder="1" applyAlignment="1" applyProtection="1">
      <alignment wrapText="1"/>
    </xf>
    <xf numFmtId="167" fontId="0" fillId="0" borderId="0" xfId="1" applyNumberFormat="1" applyFont="1" applyBorder="1" applyAlignment="1" applyProtection="1">
      <alignment vertical="center"/>
    </xf>
    <xf numFmtId="0" fontId="2" fillId="0" borderId="7" xfId="0" applyFont="1" applyBorder="1" applyAlignment="1" applyProtection="1"/>
    <xf numFmtId="0" fontId="1" fillId="0" borderId="5" xfId="0" applyFont="1" applyBorder="1" applyAlignment="1" applyProtection="1">
      <alignment wrapText="1"/>
    </xf>
    <xf numFmtId="0" fontId="1" fillId="0" borderId="23" xfId="0" applyFont="1" applyFill="1" applyBorder="1" applyAlignment="1" applyProtection="1">
      <alignment wrapText="1"/>
    </xf>
    <xf numFmtId="0" fontId="1" fillId="0" borderId="18" xfId="0" applyFont="1" applyFill="1" applyBorder="1" applyAlignment="1" applyProtection="1">
      <alignment wrapText="1"/>
    </xf>
    <xf numFmtId="0" fontId="2" fillId="0" borderId="20" xfId="0" applyFont="1" applyBorder="1" applyAlignment="1" applyProtection="1"/>
    <xf numFmtId="0" fontId="1" fillId="0" borderId="2" xfId="0" applyFont="1" applyBorder="1" applyAlignment="1" applyProtection="1">
      <alignment wrapText="1"/>
    </xf>
    <xf numFmtId="0" fontId="1" fillId="0" borderId="19" xfId="0" applyFont="1" applyFill="1" applyBorder="1" applyAlignment="1" applyProtection="1">
      <alignment wrapText="1"/>
    </xf>
    <xf numFmtId="4" fontId="1" fillId="0" borderId="7" xfId="0" applyNumberFormat="1" applyFont="1" applyBorder="1" applyAlignment="1" applyProtection="1">
      <alignment wrapText="1"/>
    </xf>
    <xf numFmtId="0" fontId="1" fillId="0" borderId="19" xfId="0" applyFont="1" applyBorder="1" applyAlignment="1" applyProtection="1">
      <alignment wrapText="1"/>
    </xf>
    <xf numFmtId="4" fontId="1" fillId="0" borderId="18" xfId="0" applyNumberFormat="1" applyFont="1" applyBorder="1" applyAlignment="1" applyProtection="1">
      <alignment wrapText="1"/>
    </xf>
    <xf numFmtId="4" fontId="1" fillId="0" borderId="20" xfId="0" applyNumberFormat="1" applyFont="1" applyBorder="1" applyAlignment="1" applyProtection="1">
      <alignment wrapText="1"/>
    </xf>
    <xf numFmtId="0" fontId="1" fillId="0" borderId="18" xfId="0" applyFont="1" applyBorder="1" applyAlignment="1" applyProtection="1">
      <alignment wrapText="1"/>
    </xf>
    <xf numFmtId="0" fontId="2" fillId="0" borderId="20" xfId="0" applyFont="1" applyBorder="1" applyAlignment="1" applyProtection="1">
      <alignment horizontal="left"/>
    </xf>
    <xf numFmtId="0" fontId="1" fillId="0" borderId="23" xfId="0" applyFont="1" applyBorder="1" applyAlignment="1" applyProtection="1">
      <alignment wrapText="1"/>
    </xf>
    <xf numFmtId="0" fontId="1" fillId="0" borderId="20" xfId="0" applyFont="1" applyBorder="1" applyAlignment="1" applyProtection="1">
      <alignment wrapText="1"/>
    </xf>
    <xf numFmtId="0" fontId="1" fillId="0" borderId="9" xfId="0" applyFont="1" applyBorder="1" applyAlignment="1" applyProtection="1">
      <alignment wrapText="1"/>
    </xf>
    <xf numFmtId="0" fontId="1" fillId="0" borderId="1" xfId="0" applyFont="1" applyBorder="1" applyAlignment="1" applyProtection="1">
      <alignment wrapText="1"/>
    </xf>
    <xf numFmtId="0" fontId="1" fillId="0" borderId="22" xfId="0" applyFont="1" applyFill="1" applyBorder="1" applyAlignment="1" applyProtection="1">
      <alignment wrapText="1"/>
    </xf>
    <xf numFmtId="0" fontId="13" fillId="0" borderId="26" xfId="0" applyFont="1" applyBorder="1" applyAlignment="1" applyProtection="1">
      <alignment horizontal="left" vertical="center" wrapText="1"/>
    </xf>
    <xf numFmtId="0" fontId="13" fillId="0" borderId="27" xfId="0" applyFont="1" applyBorder="1" applyAlignment="1" applyProtection="1">
      <alignment horizontal="left" vertical="center" wrapText="1"/>
    </xf>
    <xf numFmtId="44" fontId="13" fillId="0" borderId="26" xfId="1" applyFont="1" applyBorder="1" applyAlignment="1" applyProtection="1">
      <alignment horizontal="left" vertical="center" wrapText="1"/>
    </xf>
    <xf numFmtId="44" fontId="13" fillId="0" borderId="27" xfId="1" applyFont="1" applyBorder="1" applyAlignment="1" applyProtection="1">
      <alignment horizontal="left" vertical="center" wrapText="1"/>
    </xf>
    <xf numFmtId="0" fontId="1" fillId="10" borderId="6" xfId="0" applyFont="1" applyFill="1" applyBorder="1" applyAlignment="1" applyProtection="1">
      <alignment horizontal="left" vertical="top" wrapText="1"/>
    </xf>
    <xf numFmtId="0" fontId="1" fillId="10" borderId="1" xfId="0" applyFont="1" applyFill="1" applyBorder="1" applyAlignment="1" applyProtection="1">
      <alignment horizontal="left" vertical="top" wrapText="1"/>
    </xf>
    <xf numFmtId="0" fontId="1" fillId="10" borderId="15" xfId="0" applyFont="1" applyFill="1" applyBorder="1" applyAlignment="1" applyProtection="1">
      <alignment horizontal="left" vertical="top" wrapText="1"/>
    </xf>
    <xf numFmtId="0" fontId="1" fillId="10" borderId="17" xfId="0" applyFont="1" applyFill="1" applyBorder="1" applyAlignment="1" applyProtection="1">
      <alignment horizontal="left" vertical="top" wrapText="1"/>
    </xf>
    <xf numFmtId="0" fontId="3" fillId="8" borderId="13" xfId="0" applyFont="1" applyFill="1" applyBorder="1" applyAlignment="1" applyProtection="1">
      <alignment horizontal="left" vertical="center" wrapText="1"/>
    </xf>
    <xf numFmtId="0" fontId="3" fillId="7" borderId="9" xfId="0" applyFont="1" applyFill="1" applyBorder="1" applyAlignment="1" applyProtection="1">
      <alignment horizontal="left" vertical="center" wrapText="1"/>
    </xf>
    <xf numFmtId="0" fontId="1" fillId="8" borderId="7" xfId="0" applyFont="1" applyFill="1" applyBorder="1" applyAlignment="1" applyProtection="1">
      <alignment horizontal="left" vertical="top" wrapText="1"/>
    </xf>
    <xf numFmtId="0" fontId="1" fillId="8" borderId="5" xfId="0" applyFont="1" applyFill="1" applyBorder="1" applyAlignment="1" applyProtection="1">
      <alignment horizontal="left" vertical="top" wrapText="1"/>
    </xf>
    <xf numFmtId="0" fontId="3" fillId="8" borderId="7" xfId="0" applyFont="1" applyFill="1" applyBorder="1" applyAlignment="1" applyProtection="1">
      <alignment horizontal="left" vertical="center"/>
    </xf>
    <xf numFmtId="0" fontId="3" fillId="8" borderId="4" xfId="0" applyFont="1" applyFill="1" applyBorder="1" applyAlignment="1" applyProtection="1">
      <alignment horizontal="left" vertical="center"/>
    </xf>
    <xf numFmtId="0" fontId="3" fillId="8" borderId="5" xfId="0" applyFont="1" applyFill="1" applyBorder="1" applyAlignment="1" applyProtection="1">
      <alignment horizontal="left" vertical="center"/>
    </xf>
    <xf numFmtId="0" fontId="1" fillId="10" borderId="7" xfId="0" applyFont="1" applyFill="1" applyBorder="1" applyAlignment="1" applyProtection="1">
      <alignment horizontal="left" vertical="top" wrapText="1"/>
    </xf>
    <xf numFmtId="0" fontId="1" fillId="10" borderId="5" xfId="0" applyFont="1" applyFill="1" applyBorder="1" applyAlignment="1" applyProtection="1">
      <alignment horizontal="left" vertical="top" wrapText="1"/>
    </xf>
    <xf numFmtId="0" fontId="11" fillId="4" borderId="0" xfId="0" applyFont="1" applyFill="1" applyAlignment="1" applyProtection="1">
      <alignment horizontal="center"/>
    </xf>
    <xf numFmtId="0" fontId="1" fillId="8" borderId="6" xfId="0" applyFont="1" applyFill="1" applyBorder="1" applyAlignment="1" applyProtection="1">
      <alignment vertical="top" wrapText="1"/>
    </xf>
    <xf numFmtId="0" fontId="1" fillId="8" borderId="1" xfId="0" applyFont="1" applyFill="1" applyBorder="1" applyAlignment="1" applyProtection="1">
      <alignment vertical="top" wrapText="1"/>
    </xf>
    <xf numFmtId="0" fontId="1" fillId="8" borderId="6" xfId="0" applyFont="1" applyFill="1" applyBorder="1" applyAlignment="1" applyProtection="1">
      <alignment horizontal="left" vertical="top" wrapText="1"/>
    </xf>
    <xf numFmtId="0" fontId="1" fillId="8" borderId="1" xfId="0" applyFont="1" applyFill="1" applyBorder="1" applyAlignment="1" applyProtection="1">
      <alignment horizontal="left" vertical="top" wrapText="1"/>
    </xf>
    <xf numFmtId="166" fontId="1" fillId="8" borderId="6" xfId="0" applyNumberFormat="1" applyFont="1" applyFill="1" applyBorder="1" applyAlignment="1" applyProtection="1">
      <alignment horizontal="left" vertical="top" wrapText="1"/>
    </xf>
    <xf numFmtId="166" fontId="1" fillId="8" borderId="1" xfId="0" applyNumberFormat="1" applyFont="1" applyFill="1" applyBorder="1" applyAlignment="1" applyProtection="1">
      <alignment horizontal="left" vertical="top" wrapText="1"/>
    </xf>
    <xf numFmtId="0" fontId="1" fillId="10" borderId="14" xfId="0" applyFont="1" applyFill="1" applyBorder="1" applyAlignment="1" applyProtection="1">
      <alignment horizontal="left" vertical="top" wrapText="1"/>
    </xf>
    <xf numFmtId="0" fontId="1" fillId="10" borderId="16" xfId="0" applyFont="1" applyFill="1" applyBorder="1" applyAlignment="1" applyProtection="1">
      <alignment horizontal="left" vertical="top" wrapText="1"/>
    </xf>
    <xf numFmtId="0" fontId="3" fillId="8" borderId="7" xfId="0" applyFont="1" applyFill="1" applyBorder="1" applyAlignment="1" applyProtection="1">
      <alignment horizontal="left" vertical="center" wrapText="1"/>
    </xf>
    <xf numFmtId="0" fontId="3" fillId="8" borderId="5" xfId="0" applyFont="1" applyFill="1" applyBorder="1" applyAlignment="1" applyProtection="1">
      <alignment horizontal="left" vertical="center" wrapText="1"/>
    </xf>
    <xf numFmtId="0" fontId="13" fillId="0" borderId="25" xfId="0" applyFont="1" applyBorder="1" applyAlignment="1" applyProtection="1">
      <alignment horizontal="left" vertical="center" wrapText="1"/>
    </xf>
    <xf numFmtId="44" fontId="13" fillId="0" borderId="25" xfId="1" applyFont="1" applyBorder="1" applyAlignment="1" applyProtection="1">
      <alignment horizontal="left" vertical="center" wrapText="1"/>
    </xf>
    <xf numFmtId="0" fontId="13" fillId="0" borderId="28" xfId="0" applyFont="1" applyBorder="1" applyAlignment="1" applyProtection="1">
      <alignment horizontal="left"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92B0D2"/>
      <color rgb="FF6BEFEC"/>
      <color rgb="FF17CFCB"/>
      <color rgb="FF16C8C4"/>
      <color rgb="FF15BBB7"/>
      <color rgb="FF15BDB9"/>
      <color rgb="FF00CC99"/>
      <color rgb="FF00FF99"/>
      <color rgb="FF33CC33"/>
      <color rgb="FF2DC1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800100</xdr:colOff>
      <xdr:row>3</xdr:row>
      <xdr:rowOff>228600</xdr:rowOff>
    </xdr:from>
    <xdr:to>
      <xdr:col>1</xdr:col>
      <xdr:colOff>1209675</xdr:colOff>
      <xdr:row>3</xdr:row>
      <xdr:rowOff>228601</xdr:rowOff>
    </xdr:to>
    <xdr:cxnSp macro="">
      <xdr:nvCxnSpPr>
        <xdr:cNvPr id="3" name="Straight Arrow Connector 2"/>
        <xdr:cNvCxnSpPr/>
      </xdr:nvCxnSpPr>
      <xdr:spPr>
        <a:xfrm flipV="1">
          <a:off x="800100" y="1009650"/>
          <a:ext cx="1771650" cy="1"/>
        </a:xfrm>
        <a:prstGeom prst="straightConnector1">
          <a:avLst/>
        </a:prstGeom>
        <a:ln w="57150" cap="sq">
          <a:solidFill>
            <a:sysClr val="windowText" lastClr="000000"/>
          </a:solidFill>
          <a:miter lim="8000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742950</xdr:colOff>
      <xdr:row>3</xdr:row>
      <xdr:rowOff>238125</xdr:rowOff>
    </xdr:from>
    <xdr:to>
      <xdr:col>5</xdr:col>
      <xdr:colOff>1419225</xdr:colOff>
      <xdr:row>3</xdr:row>
      <xdr:rowOff>239713</xdr:rowOff>
    </xdr:to>
    <xdr:cxnSp macro="">
      <xdr:nvCxnSpPr>
        <xdr:cNvPr id="4" name="Straight Arrow Connector 3"/>
        <xdr:cNvCxnSpPr/>
      </xdr:nvCxnSpPr>
      <xdr:spPr>
        <a:xfrm>
          <a:off x="3733800" y="657225"/>
          <a:ext cx="4591050" cy="1588"/>
        </a:xfrm>
        <a:prstGeom prst="straightConnector1">
          <a:avLst/>
        </a:prstGeom>
        <a:ln w="57150" cap="sq">
          <a:solidFill>
            <a:sysClr val="windowText" lastClr="000000"/>
          </a:solidFill>
          <a:miter lim="8000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238125</xdr:colOff>
      <xdr:row>3</xdr:row>
      <xdr:rowOff>219075</xdr:rowOff>
    </xdr:from>
    <xdr:to>
      <xdr:col>18</xdr:col>
      <xdr:colOff>695325</xdr:colOff>
      <xdr:row>3</xdr:row>
      <xdr:rowOff>220663</xdr:rowOff>
    </xdr:to>
    <xdr:cxnSp macro="">
      <xdr:nvCxnSpPr>
        <xdr:cNvPr id="6" name="Straight Arrow Connector 5"/>
        <xdr:cNvCxnSpPr/>
      </xdr:nvCxnSpPr>
      <xdr:spPr>
        <a:xfrm>
          <a:off x="16621125" y="1000125"/>
          <a:ext cx="2257425" cy="1588"/>
        </a:xfrm>
        <a:prstGeom prst="straightConnector1">
          <a:avLst/>
        </a:prstGeom>
        <a:ln w="57150" cap="sq">
          <a:solidFill>
            <a:sysClr val="windowText" lastClr="000000"/>
          </a:solidFill>
          <a:miter lim="8000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762000</xdr:colOff>
      <xdr:row>3</xdr:row>
      <xdr:rowOff>228600</xdr:rowOff>
    </xdr:from>
    <xdr:to>
      <xdr:col>13</xdr:col>
      <xdr:colOff>733425</xdr:colOff>
      <xdr:row>3</xdr:row>
      <xdr:rowOff>238125</xdr:rowOff>
    </xdr:to>
    <xdr:cxnSp macro="">
      <xdr:nvCxnSpPr>
        <xdr:cNvPr id="7" name="Straight Arrow Connector 6"/>
        <xdr:cNvCxnSpPr/>
      </xdr:nvCxnSpPr>
      <xdr:spPr>
        <a:xfrm>
          <a:off x="8905875" y="1009650"/>
          <a:ext cx="5238750" cy="9525"/>
        </a:xfrm>
        <a:prstGeom prst="straightConnector1">
          <a:avLst/>
        </a:prstGeom>
        <a:ln w="57150" cap="sq">
          <a:solidFill>
            <a:sysClr val="windowText" lastClr="000000"/>
          </a:solidFill>
          <a:miter lim="8000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eeksquad.com/" TargetMode="External"/><Relationship Id="rId1" Type="http://schemas.openxmlformats.org/officeDocument/2006/relationships/hyperlink" Target="http://gosa.georgia.gov/sites/gosa.georgia.gov/files/Innovation%20Fund%20Highest%20Rated%20Grant%20Summaries_Final%2012.12.14.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1"/>
  <sheetViews>
    <sheetView showGridLines="0" tabSelected="1" zoomScaleNormal="100" workbookViewId="0">
      <selection sqref="A1:H1"/>
    </sheetView>
  </sheetViews>
  <sheetFormatPr defaultRowHeight="12.75" x14ac:dyDescent="0.2"/>
  <cols>
    <col min="1" max="1" width="22.5703125" style="88" customWidth="1"/>
    <col min="2" max="2" width="29.42578125" style="88" customWidth="1"/>
    <col min="3" max="3" width="23" style="88" customWidth="1"/>
    <col min="4" max="4" width="16.5703125" style="2" customWidth="1"/>
    <col min="5" max="5" width="28.140625" style="88" customWidth="1"/>
    <col min="6" max="6" width="47" style="88" customWidth="1"/>
    <col min="7" max="7" width="34.42578125" style="88" bestFit="1" customWidth="1"/>
    <col min="8" max="8" width="19.5703125" style="88" customWidth="1"/>
    <col min="9" max="9" width="9.85546875" style="88" customWidth="1"/>
    <col min="10" max="10" width="13.140625" style="88" customWidth="1"/>
    <col min="11" max="11" width="11.28515625" style="24" hidden="1" customWidth="1"/>
    <col min="12" max="12" width="17.5703125" style="88" bestFit="1" customWidth="1"/>
    <col min="13" max="13" width="14.5703125" style="2" customWidth="1"/>
    <col min="14" max="14" width="17.85546875" style="88" customWidth="1"/>
    <col min="15" max="15" width="14.7109375" style="88" customWidth="1"/>
    <col min="16" max="16" width="16.5703125" style="88" customWidth="1"/>
    <col min="17" max="17" width="13.85546875" style="88" customWidth="1"/>
    <col min="18" max="18" width="12.28515625" style="88" customWidth="1"/>
    <col min="19" max="19" width="13.5703125" style="88" customWidth="1"/>
    <col min="20" max="20" width="11.85546875" style="26" customWidth="1"/>
    <col min="21" max="21" width="14.28515625" style="27" customWidth="1"/>
    <col min="22" max="23" width="13.85546875" style="27" bestFit="1" customWidth="1"/>
    <col min="24" max="24" width="14.42578125" style="27" customWidth="1"/>
    <col min="25" max="25" width="15.42578125" style="27" customWidth="1"/>
    <col min="26" max="26" width="13.85546875" style="27" bestFit="1" customWidth="1"/>
    <col min="27" max="27" width="15.85546875" style="27" customWidth="1"/>
    <col min="28" max="29" width="14.42578125" style="88" bestFit="1" customWidth="1"/>
    <col min="30" max="32" width="12.7109375" style="88" bestFit="1" customWidth="1"/>
    <col min="33" max="33" width="12.7109375" style="2" bestFit="1" customWidth="1"/>
    <col min="34" max="36" width="9.140625" style="24"/>
    <col min="37" max="75" width="9.140625" style="28"/>
    <col min="76" max="16384" width="9.140625" style="88"/>
  </cols>
  <sheetData>
    <row r="1" spans="1:75" s="17" customFormat="1" ht="18" x14ac:dyDescent="0.25">
      <c r="A1" s="134" t="s">
        <v>24</v>
      </c>
      <c r="B1" s="134"/>
      <c r="C1" s="134"/>
      <c r="D1" s="134"/>
      <c r="E1" s="134"/>
      <c r="F1" s="134"/>
      <c r="G1" s="134"/>
      <c r="H1" s="134"/>
      <c r="M1" s="18"/>
      <c r="T1" s="19"/>
      <c r="U1" s="20"/>
      <c r="V1" s="20"/>
      <c r="W1" s="20"/>
      <c r="X1" s="20"/>
      <c r="Y1" s="20"/>
      <c r="Z1" s="20"/>
      <c r="AA1" s="20"/>
      <c r="AG1" s="18"/>
      <c r="AH1" s="21"/>
      <c r="AI1" s="21"/>
      <c r="AJ1" s="21"/>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row>
    <row r="2" spans="1:75" s="24" customFormat="1" ht="7.5" customHeight="1" x14ac:dyDescent="0.25">
      <c r="A2" s="23"/>
      <c r="B2" s="23"/>
      <c r="C2" s="23"/>
      <c r="D2" s="23"/>
      <c r="E2" s="23"/>
      <c r="F2" s="23"/>
      <c r="G2" s="23"/>
      <c r="H2" s="23"/>
      <c r="M2" s="25"/>
      <c r="T2" s="26"/>
      <c r="U2" s="27"/>
      <c r="V2" s="27"/>
      <c r="W2" s="27"/>
      <c r="X2" s="27"/>
      <c r="Y2" s="27"/>
      <c r="Z2" s="27"/>
      <c r="AA2" s="27"/>
      <c r="AG2" s="25"/>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row>
    <row r="3" spans="1:75" s="31" customFormat="1" ht="7.5" customHeight="1" x14ac:dyDescent="0.2">
      <c r="A3" s="29"/>
      <c r="B3" s="30"/>
      <c r="D3" s="32"/>
      <c r="M3" s="32"/>
      <c r="T3" s="33"/>
      <c r="U3" s="34"/>
      <c r="V3" s="34"/>
      <c r="W3" s="34"/>
      <c r="X3" s="34"/>
      <c r="Y3" s="34"/>
      <c r="Z3" s="34"/>
      <c r="AA3" s="34"/>
      <c r="AG3" s="32"/>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row>
    <row r="4" spans="1:75" s="45" customFormat="1" ht="34.5" customHeight="1" thickBot="1" x14ac:dyDescent="0.25">
      <c r="A4" s="36" t="s">
        <v>25</v>
      </c>
      <c r="B4" s="37"/>
      <c r="C4" s="38" t="s">
        <v>26</v>
      </c>
      <c r="D4" s="38"/>
      <c r="E4" s="38"/>
      <c r="F4" s="38"/>
      <c r="G4" s="39" t="s">
        <v>27</v>
      </c>
      <c r="H4" s="39"/>
      <c r="I4" s="39"/>
      <c r="J4" s="39"/>
      <c r="K4" s="39"/>
      <c r="L4" s="39"/>
      <c r="M4" s="40"/>
      <c r="N4" s="39"/>
      <c r="O4" s="126" t="s">
        <v>28</v>
      </c>
      <c r="P4" s="126"/>
      <c r="Q4" s="41"/>
      <c r="R4" s="41"/>
      <c r="S4" s="41"/>
      <c r="T4" s="42"/>
      <c r="U4" s="43"/>
      <c r="V4" s="43"/>
      <c r="W4" s="43"/>
      <c r="X4" s="43"/>
      <c r="Y4" s="43"/>
      <c r="Z4" s="43"/>
      <c r="AA4" s="43"/>
      <c r="AB4" s="44"/>
      <c r="AG4" s="46"/>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row>
    <row r="5" spans="1:75" s="55" customFormat="1" ht="47.25" customHeight="1" thickBot="1" x14ac:dyDescent="0.25">
      <c r="A5" s="48" t="s">
        <v>16</v>
      </c>
      <c r="B5" s="48" t="s">
        <v>57</v>
      </c>
      <c r="C5" s="143" t="s">
        <v>0</v>
      </c>
      <c r="D5" s="144"/>
      <c r="E5" s="49" t="s">
        <v>48</v>
      </c>
      <c r="F5" s="125" t="s">
        <v>56</v>
      </c>
      <c r="G5" s="125"/>
      <c r="H5" s="125"/>
      <c r="I5" s="125"/>
      <c r="J5" s="125"/>
      <c r="K5" s="125"/>
      <c r="L5" s="125"/>
      <c r="M5" s="125"/>
      <c r="N5" s="125"/>
      <c r="O5" s="50" t="s">
        <v>19</v>
      </c>
      <c r="P5" s="50" t="s">
        <v>18</v>
      </c>
      <c r="Q5" s="50" t="s">
        <v>17</v>
      </c>
      <c r="R5" s="48" t="s">
        <v>20</v>
      </c>
      <c r="S5" s="48" t="s">
        <v>1</v>
      </c>
      <c r="T5" s="51"/>
      <c r="U5" s="129" t="s">
        <v>7</v>
      </c>
      <c r="V5" s="130"/>
      <c r="W5" s="130"/>
      <c r="X5" s="130"/>
      <c r="Y5" s="130"/>
      <c r="Z5" s="131"/>
      <c r="AA5" s="52"/>
      <c r="AB5" s="129" t="s">
        <v>7</v>
      </c>
      <c r="AC5" s="130"/>
      <c r="AD5" s="130"/>
      <c r="AE5" s="130"/>
      <c r="AF5" s="130"/>
      <c r="AG5" s="131"/>
      <c r="AH5" s="53"/>
      <c r="AI5" s="53"/>
      <c r="AJ5" s="53"/>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row>
    <row r="6" spans="1:75" s="66" customFormat="1" ht="28.5" customHeight="1" thickBot="1" x14ac:dyDescent="0.25">
      <c r="A6" s="135" t="s">
        <v>51</v>
      </c>
      <c r="B6" s="137" t="s">
        <v>31</v>
      </c>
      <c r="C6" s="137" t="s">
        <v>32</v>
      </c>
      <c r="D6" s="139" t="s">
        <v>52</v>
      </c>
      <c r="E6" s="141" t="s">
        <v>49</v>
      </c>
      <c r="F6" s="56" t="s">
        <v>2</v>
      </c>
      <c r="G6" s="56" t="s">
        <v>3</v>
      </c>
      <c r="H6" s="56" t="s">
        <v>4</v>
      </c>
      <c r="I6" s="56" t="s">
        <v>6</v>
      </c>
      <c r="J6" s="56" t="s">
        <v>5</v>
      </c>
      <c r="K6" s="56" t="s">
        <v>45</v>
      </c>
      <c r="L6" s="56" t="s">
        <v>29</v>
      </c>
      <c r="M6" s="57" t="s">
        <v>42</v>
      </c>
      <c r="N6" s="56" t="s">
        <v>4</v>
      </c>
      <c r="O6" s="123" t="s">
        <v>36</v>
      </c>
      <c r="P6" s="121" t="s">
        <v>22</v>
      </c>
      <c r="Q6" s="121" t="s">
        <v>21</v>
      </c>
      <c r="R6" s="121" t="s">
        <v>23</v>
      </c>
      <c r="S6" s="121" t="s">
        <v>37</v>
      </c>
      <c r="T6" s="58"/>
      <c r="U6" s="132" t="s">
        <v>30</v>
      </c>
      <c r="V6" s="133"/>
      <c r="W6" s="59">
        <v>2.5000000000000001E-2</v>
      </c>
      <c r="X6" s="60"/>
      <c r="Y6" s="132"/>
      <c r="Z6" s="133"/>
      <c r="AA6" s="61"/>
      <c r="AB6" s="127" t="s">
        <v>30</v>
      </c>
      <c r="AC6" s="128"/>
      <c r="AD6" s="62"/>
      <c r="AE6" s="63"/>
      <c r="AF6" s="127"/>
      <c r="AG6" s="128"/>
      <c r="AH6" s="64"/>
      <c r="AI6" s="64"/>
      <c r="AJ6" s="64"/>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row>
    <row r="7" spans="1:75" s="66" customFormat="1" ht="80.25" customHeight="1" thickBot="1" x14ac:dyDescent="0.25">
      <c r="A7" s="136"/>
      <c r="B7" s="138"/>
      <c r="C7" s="138"/>
      <c r="D7" s="140"/>
      <c r="E7" s="142"/>
      <c r="F7" s="56" t="s">
        <v>54</v>
      </c>
      <c r="G7" s="56" t="s">
        <v>33</v>
      </c>
      <c r="H7" s="56" t="s">
        <v>34</v>
      </c>
      <c r="I7" s="56"/>
      <c r="J7" s="56" t="s">
        <v>79</v>
      </c>
      <c r="K7" s="56" t="s">
        <v>44</v>
      </c>
      <c r="L7" s="56" t="s">
        <v>35</v>
      </c>
      <c r="M7" s="57" t="s">
        <v>41</v>
      </c>
      <c r="N7" s="56" t="s">
        <v>34</v>
      </c>
      <c r="O7" s="124"/>
      <c r="P7" s="122"/>
      <c r="Q7" s="122"/>
      <c r="R7" s="122"/>
      <c r="S7" s="122"/>
      <c r="T7" s="58"/>
      <c r="U7" s="67" t="s">
        <v>43</v>
      </c>
      <c r="V7" s="67" t="s">
        <v>11</v>
      </c>
      <c r="W7" s="67" t="s">
        <v>12</v>
      </c>
      <c r="X7" s="67" t="s">
        <v>13</v>
      </c>
      <c r="Y7" s="67" t="s">
        <v>14</v>
      </c>
      <c r="Z7" s="68" t="s">
        <v>15</v>
      </c>
      <c r="AA7" s="61"/>
      <c r="AB7" s="69" t="s">
        <v>43</v>
      </c>
      <c r="AC7" s="69" t="s">
        <v>11</v>
      </c>
      <c r="AD7" s="69" t="s">
        <v>12</v>
      </c>
      <c r="AE7" s="69" t="s">
        <v>13</v>
      </c>
      <c r="AF7" s="69" t="s">
        <v>14</v>
      </c>
      <c r="AG7" s="70" t="s">
        <v>15</v>
      </c>
      <c r="AH7" s="64"/>
      <c r="AI7" s="64"/>
      <c r="AJ7" s="64"/>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row>
    <row r="8" spans="1:75" s="80" customFormat="1" ht="132.75" customHeight="1" thickBot="1" x14ac:dyDescent="0.25">
      <c r="A8" s="117" t="s">
        <v>138</v>
      </c>
      <c r="B8" s="117" t="s">
        <v>69</v>
      </c>
      <c r="C8" s="117" t="s">
        <v>59</v>
      </c>
      <c r="D8" s="119">
        <v>100000</v>
      </c>
      <c r="E8" s="117" t="s">
        <v>61</v>
      </c>
      <c r="F8" s="71" t="s">
        <v>119</v>
      </c>
      <c r="G8" s="71" t="s">
        <v>83</v>
      </c>
      <c r="H8" s="71" t="s">
        <v>107</v>
      </c>
      <c r="I8" s="71"/>
      <c r="J8" s="71"/>
      <c r="K8" s="72"/>
      <c r="L8" s="71"/>
      <c r="M8" s="73"/>
      <c r="N8" s="71"/>
      <c r="O8" s="74">
        <v>0</v>
      </c>
      <c r="P8" s="75">
        <v>0</v>
      </c>
      <c r="Q8" s="75">
        <v>0</v>
      </c>
      <c r="R8" s="75">
        <v>0</v>
      </c>
      <c r="S8" s="73">
        <f>I8*M8*(1-O8)*(1-P8)*(1-Q8)</f>
        <v>0</v>
      </c>
      <c r="T8" s="76"/>
      <c r="U8" s="9">
        <f t="shared" ref="U8" si="0">IF(K8=1,AB8,0)</f>
        <v>0</v>
      </c>
      <c r="V8" s="9">
        <f t="shared" ref="V8" si="1">IF(K8=1,AC8, AB8)</f>
        <v>0</v>
      </c>
      <c r="W8" s="9">
        <f t="shared" ref="W8" si="2">AD8</f>
        <v>0</v>
      </c>
      <c r="X8" s="9">
        <f t="shared" ref="X8" si="3">AE8</f>
        <v>0</v>
      </c>
      <c r="Y8" s="9">
        <f t="shared" ref="Y8" si="4">AF8</f>
        <v>0</v>
      </c>
      <c r="Z8" s="9">
        <f t="shared" ref="Z8" si="5">AG8</f>
        <v>0</v>
      </c>
      <c r="AA8" s="77"/>
      <c r="AB8" s="9">
        <f>IF(J8&gt;=0,S8,0)</f>
        <v>0</v>
      </c>
      <c r="AC8" s="9">
        <f t="shared" ref="AC8" si="6">IF(J8&gt;=1,S8,0)</f>
        <v>0</v>
      </c>
      <c r="AD8" s="9">
        <f t="shared" ref="AD8" si="7">IF(J8&gt;1,AC8,0)*(1-R8)</f>
        <v>0</v>
      </c>
      <c r="AE8" s="9">
        <f t="shared" ref="AE8" si="8">IF(J8&gt;2,AD8,0)*(1-R8)</f>
        <v>0</v>
      </c>
      <c r="AF8" s="9">
        <f>IF(J8&gt;3,AE8,0)*(1-R8)</f>
        <v>0</v>
      </c>
      <c r="AG8" s="9">
        <f>IF(J8&gt;4,AF8,0)*(1-R8)</f>
        <v>0</v>
      </c>
      <c r="AH8" s="78"/>
      <c r="AI8" s="78"/>
      <c r="AJ8" s="78"/>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row>
    <row r="9" spans="1:75" s="80" customFormat="1" ht="102" customHeight="1" thickBot="1" x14ac:dyDescent="0.25">
      <c r="A9" s="118"/>
      <c r="B9" s="118"/>
      <c r="C9" s="118"/>
      <c r="D9" s="120"/>
      <c r="E9" s="118"/>
      <c r="F9" s="71" t="s">
        <v>120</v>
      </c>
      <c r="G9" s="71" t="s">
        <v>84</v>
      </c>
      <c r="H9" s="71" t="s">
        <v>81</v>
      </c>
      <c r="I9" s="71">
        <v>1</v>
      </c>
      <c r="J9" s="71">
        <v>1</v>
      </c>
      <c r="K9" s="72">
        <v>2</v>
      </c>
      <c r="L9" s="71" t="s">
        <v>80</v>
      </c>
      <c r="M9" s="73">
        <v>199940</v>
      </c>
      <c r="N9" s="81" t="s">
        <v>82</v>
      </c>
      <c r="O9" s="74">
        <v>0</v>
      </c>
      <c r="P9" s="75">
        <v>0</v>
      </c>
      <c r="Q9" s="75">
        <v>0</v>
      </c>
      <c r="R9" s="75">
        <v>0</v>
      </c>
      <c r="S9" s="73">
        <f t="shared" ref="S9:S26" si="9">I9*M9*(1-O9)*(1-P9)*(1-Q9)</f>
        <v>199940</v>
      </c>
      <c r="T9" s="76"/>
      <c r="U9" s="9">
        <f t="shared" ref="U9:U26" si="10">IF(K9=1,AB9,0)</f>
        <v>0</v>
      </c>
      <c r="V9" s="9">
        <f t="shared" ref="V9:V26" si="11">IF(K9=1,AC9, AB9)</f>
        <v>199940</v>
      </c>
      <c r="W9" s="9">
        <f t="shared" ref="W9:W26" si="12">AD9</f>
        <v>0</v>
      </c>
      <c r="X9" s="9">
        <f t="shared" ref="X9:X26" si="13">AE9</f>
        <v>0</v>
      </c>
      <c r="Y9" s="9">
        <f t="shared" ref="Y9:Y26" si="14">AF9</f>
        <v>0</v>
      </c>
      <c r="Z9" s="9">
        <f t="shared" ref="Z9:Z26" si="15">AG9</f>
        <v>0</v>
      </c>
      <c r="AA9" s="77"/>
      <c r="AB9" s="9">
        <f t="shared" ref="AB9:AB26" si="16">IF(J9&gt;=0,S9,0)</f>
        <v>199940</v>
      </c>
      <c r="AC9" s="9">
        <f t="shared" ref="AC9:AC26" si="17">IF(J9&gt;=1,S9,0)</f>
        <v>199940</v>
      </c>
      <c r="AD9" s="9">
        <f t="shared" ref="AD9:AD26" si="18">IF(J9&gt;1,AC9,0)*(1-R9)</f>
        <v>0</v>
      </c>
      <c r="AE9" s="9">
        <f t="shared" ref="AE9:AE26" si="19">IF(J9&gt;2,AD9,0)*(1-R9)</f>
        <v>0</v>
      </c>
      <c r="AF9" s="9">
        <f t="shared" ref="AF9:AF26" si="20">IF(J9&gt;3,AE9,0)*(1-R9)</f>
        <v>0</v>
      </c>
      <c r="AG9" s="9">
        <f t="shared" ref="AG9:AG26" si="21">IF(J9&gt;4,AF9,0)*(1-R9)</f>
        <v>0</v>
      </c>
      <c r="AH9" s="78"/>
      <c r="AI9" s="78"/>
      <c r="AJ9" s="78"/>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row>
    <row r="10" spans="1:75" s="80" customFormat="1" ht="39" thickBot="1" x14ac:dyDescent="0.25">
      <c r="A10" s="118"/>
      <c r="B10" s="118"/>
      <c r="C10" s="118"/>
      <c r="D10" s="120"/>
      <c r="E10" s="118"/>
      <c r="F10" s="71" t="s">
        <v>121</v>
      </c>
      <c r="G10" s="71" t="s">
        <v>135</v>
      </c>
      <c r="H10" s="71" t="s">
        <v>78</v>
      </c>
      <c r="I10" s="71">
        <v>200</v>
      </c>
      <c r="J10" s="71">
        <v>2</v>
      </c>
      <c r="K10" s="72">
        <v>2</v>
      </c>
      <c r="L10" s="71" t="s">
        <v>109</v>
      </c>
      <c r="M10" s="73">
        <v>99</v>
      </c>
      <c r="N10" s="71" t="s">
        <v>110</v>
      </c>
      <c r="O10" s="74">
        <v>0</v>
      </c>
      <c r="P10" s="75">
        <v>0.25</v>
      </c>
      <c r="Q10" s="75">
        <v>0</v>
      </c>
      <c r="R10" s="75">
        <v>0</v>
      </c>
      <c r="S10" s="73">
        <f t="shared" si="9"/>
        <v>14850</v>
      </c>
      <c r="T10" s="76"/>
      <c r="U10" s="9">
        <f t="shared" si="10"/>
        <v>0</v>
      </c>
      <c r="V10" s="9">
        <f t="shared" si="11"/>
        <v>14850</v>
      </c>
      <c r="W10" s="9">
        <f t="shared" si="12"/>
        <v>14850</v>
      </c>
      <c r="X10" s="9">
        <f t="shared" si="13"/>
        <v>0</v>
      </c>
      <c r="Y10" s="9">
        <f t="shared" si="14"/>
        <v>0</v>
      </c>
      <c r="Z10" s="9">
        <f t="shared" si="15"/>
        <v>0</v>
      </c>
      <c r="AA10" s="77"/>
      <c r="AB10" s="9">
        <f t="shared" si="16"/>
        <v>14850</v>
      </c>
      <c r="AC10" s="9">
        <f t="shared" si="17"/>
        <v>14850</v>
      </c>
      <c r="AD10" s="9">
        <f t="shared" si="18"/>
        <v>14850</v>
      </c>
      <c r="AE10" s="9">
        <f t="shared" si="19"/>
        <v>0</v>
      </c>
      <c r="AF10" s="9">
        <f t="shared" si="20"/>
        <v>0</v>
      </c>
      <c r="AG10" s="9">
        <f t="shared" si="21"/>
        <v>0</v>
      </c>
      <c r="AH10" s="78"/>
      <c r="AI10" s="78"/>
      <c r="AJ10" s="78"/>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row>
    <row r="11" spans="1:75" s="80" customFormat="1" ht="81" customHeight="1" thickBot="1" x14ac:dyDescent="0.25">
      <c r="A11" s="147" t="s">
        <v>139</v>
      </c>
      <c r="B11" s="117" t="s">
        <v>63</v>
      </c>
      <c r="C11" s="117" t="s">
        <v>67</v>
      </c>
      <c r="D11" s="119">
        <v>438118</v>
      </c>
      <c r="E11" s="117" t="s">
        <v>68</v>
      </c>
      <c r="F11" s="71" t="s">
        <v>117</v>
      </c>
      <c r="G11" s="71" t="s">
        <v>85</v>
      </c>
      <c r="H11" s="71" t="s">
        <v>108</v>
      </c>
      <c r="I11" s="71"/>
      <c r="J11" s="71"/>
      <c r="K11" s="72"/>
      <c r="L11" s="71"/>
      <c r="M11" s="73"/>
      <c r="N11" s="71"/>
      <c r="O11" s="74">
        <v>0</v>
      </c>
      <c r="P11" s="75">
        <v>0</v>
      </c>
      <c r="Q11" s="75">
        <v>0</v>
      </c>
      <c r="R11" s="75">
        <v>0</v>
      </c>
      <c r="S11" s="73">
        <f t="shared" si="9"/>
        <v>0</v>
      </c>
      <c r="T11" s="76"/>
      <c r="U11" s="9">
        <f t="shared" si="10"/>
        <v>0</v>
      </c>
      <c r="V11" s="9">
        <f t="shared" si="11"/>
        <v>0</v>
      </c>
      <c r="W11" s="9">
        <f t="shared" si="12"/>
        <v>0</v>
      </c>
      <c r="X11" s="9">
        <f t="shared" si="13"/>
        <v>0</v>
      </c>
      <c r="Y11" s="9">
        <f t="shared" si="14"/>
        <v>0</v>
      </c>
      <c r="Z11" s="9">
        <f t="shared" si="15"/>
        <v>0</v>
      </c>
      <c r="AA11" s="77"/>
      <c r="AB11" s="9">
        <f t="shared" si="16"/>
        <v>0</v>
      </c>
      <c r="AC11" s="9">
        <f t="shared" si="17"/>
        <v>0</v>
      </c>
      <c r="AD11" s="9">
        <f t="shared" si="18"/>
        <v>0</v>
      </c>
      <c r="AE11" s="9">
        <f t="shared" si="19"/>
        <v>0</v>
      </c>
      <c r="AF11" s="9">
        <f t="shared" si="20"/>
        <v>0</v>
      </c>
      <c r="AG11" s="9">
        <f t="shared" si="21"/>
        <v>0</v>
      </c>
      <c r="AH11" s="78"/>
      <c r="AI11" s="78"/>
      <c r="AJ11" s="78"/>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row>
    <row r="12" spans="1:75" s="80" customFormat="1" ht="64.5" thickBot="1" x14ac:dyDescent="0.25">
      <c r="A12" s="145"/>
      <c r="B12" s="145"/>
      <c r="C12" s="145"/>
      <c r="D12" s="146"/>
      <c r="E12" s="145"/>
      <c r="F12" s="71" t="s">
        <v>122</v>
      </c>
      <c r="G12" s="71" t="s">
        <v>132</v>
      </c>
      <c r="H12" s="71" t="s">
        <v>86</v>
      </c>
      <c r="I12" s="71">
        <v>1</v>
      </c>
      <c r="J12" s="71">
        <v>1</v>
      </c>
      <c r="K12" s="72">
        <v>2</v>
      </c>
      <c r="L12" s="71" t="s">
        <v>106</v>
      </c>
      <c r="M12" s="73">
        <v>120161</v>
      </c>
      <c r="N12" s="71" t="s">
        <v>86</v>
      </c>
      <c r="O12" s="74">
        <v>0</v>
      </c>
      <c r="P12" s="75">
        <v>0.25</v>
      </c>
      <c r="Q12" s="75">
        <v>0</v>
      </c>
      <c r="R12" s="75">
        <v>0</v>
      </c>
      <c r="S12" s="73">
        <f t="shared" si="9"/>
        <v>90120.75</v>
      </c>
      <c r="T12" s="76"/>
      <c r="U12" s="9">
        <f t="shared" si="10"/>
        <v>0</v>
      </c>
      <c r="V12" s="9">
        <f t="shared" si="11"/>
        <v>90120.75</v>
      </c>
      <c r="W12" s="9">
        <f t="shared" si="12"/>
        <v>0</v>
      </c>
      <c r="X12" s="9">
        <f t="shared" si="13"/>
        <v>0</v>
      </c>
      <c r="Y12" s="9">
        <f t="shared" si="14"/>
        <v>0</v>
      </c>
      <c r="Z12" s="9">
        <f t="shared" si="15"/>
        <v>0</v>
      </c>
      <c r="AA12" s="77"/>
      <c r="AB12" s="9">
        <f t="shared" si="16"/>
        <v>90120.75</v>
      </c>
      <c r="AC12" s="9">
        <f t="shared" si="17"/>
        <v>90120.75</v>
      </c>
      <c r="AD12" s="9">
        <f t="shared" si="18"/>
        <v>0</v>
      </c>
      <c r="AE12" s="9">
        <f t="shared" si="19"/>
        <v>0</v>
      </c>
      <c r="AF12" s="9">
        <f t="shared" si="20"/>
        <v>0</v>
      </c>
      <c r="AG12" s="9">
        <f t="shared" si="21"/>
        <v>0</v>
      </c>
      <c r="AH12" s="78"/>
      <c r="AI12" s="78"/>
      <c r="AJ12" s="78"/>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row>
    <row r="13" spans="1:75" s="80" customFormat="1" ht="159" customHeight="1" thickBot="1" x14ac:dyDescent="0.25">
      <c r="A13" s="117" t="s">
        <v>140</v>
      </c>
      <c r="B13" s="117" t="s">
        <v>53</v>
      </c>
      <c r="C13" s="117" t="s">
        <v>58</v>
      </c>
      <c r="D13" s="119">
        <v>0</v>
      </c>
      <c r="E13" s="117" t="s">
        <v>87</v>
      </c>
      <c r="F13" s="71" t="s">
        <v>118</v>
      </c>
      <c r="G13" s="71" t="s">
        <v>98</v>
      </c>
      <c r="H13" s="71" t="s">
        <v>144</v>
      </c>
      <c r="I13" s="71"/>
      <c r="J13" s="71"/>
      <c r="K13" s="72"/>
      <c r="L13" s="71"/>
      <c r="M13" s="73"/>
      <c r="N13" s="71"/>
      <c r="O13" s="75">
        <v>0</v>
      </c>
      <c r="P13" s="75">
        <v>0</v>
      </c>
      <c r="Q13" s="75">
        <v>0</v>
      </c>
      <c r="R13" s="75">
        <v>0</v>
      </c>
      <c r="S13" s="73">
        <f t="shared" si="9"/>
        <v>0</v>
      </c>
      <c r="T13" s="76"/>
      <c r="U13" s="9">
        <f t="shared" si="10"/>
        <v>0</v>
      </c>
      <c r="V13" s="9">
        <f t="shared" si="11"/>
        <v>0</v>
      </c>
      <c r="W13" s="9">
        <f t="shared" si="12"/>
        <v>0</v>
      </c>
      <c r="X13" s="9">
        <f t="shared" si="13"/>
        <v>0</v>
      </c>
      <c r="Y13" s="9">
        <f t="shared" si="14"/>
        <v>0</v>
      </c>
      <c r="Z13" s="9">
        <f t="shared" si="15"/>
        <v>0</v>
      </c>
      <c r="AA13" s="77"/>
      <c r="AB13" s="9">
        <f t="shared" si="16"/>
        <v>0</v>
      </c>
      <c r="AC13" s="9">
        <f t="shared" si="17"/>
        <v>0</v>
      </c>
      <c r="AD13" s="9">
        <f t="shared" si="18"/>
        <v>0</v>
      </c>
      <c r="AE13" s="9">
        <f t="shared" si="19"/>
        <v>0</v>
      </c>
      <c r="AF13" s="9">
        <f t="shared" si="20"/>
        <v>0</v>
      </c>
      <c r="AG13" s="9">
        <f t="shared" si="21"/>
        <v>0</v>
      </c>
      <c r="AH13" s="78"/>
      <c r="AI13" s="78"/>
      <c r="AJ13" s="78"/>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row>
    <row r="14" spans="1:75" s="80" customFormat="1" ht="51.75" thickBot="1" x14ac:dyDescent="0.25">
      <c r="A14" s="118"/>
      <c r="B14" s="118"/>
      <c r="C14" s="118"/>
      <c r="D14" s="120"/>
      <c r="E14" s="118"/>
      <c r="F14" s="71" t="s">
        <v>124</v>
      </c>
      <c r="G14" s="71" t="s">
        <v>133</v>
      </c>
      <c r="H14" s="71" t="s">
        <v>137</v>
      </c>
      <c r="I14" s="71">
        <v>924</v>
      </c>
      <c r="J14" s="71">
        <v>2</v>
      </c>
      <c r="K14" s="72">
        <v>2</v>
      </c>
      <c r="L14" s="71" t="s">
        <v>88</v>
      </c>
      <c r="M14" s="73">
        <v>127</v>
      </c>
      <c r="N14" s="71" t="s">
        <v>89</v>
      </c>
      <c r="O14" s="75">
        <v>0.25</v>
      </c>
      <c r="P14" s="75">
        <v>0</v>
      </c>
      <c r="Q14" s="75">
        <v>0</v>
      </c>
      <c r="R14" s="75">
        <v>0</v>
      </c>
      <c r="S14" s="73">
        <f t="shared" si="9"/>
        <v>88011</v>
      </c>
      <c r="T14" s="76"/>
      <c r="U14" s="9">
        <f t="shared" si="10"/>
        <v>0</v>
      </c>
      <c r="V14" s="9">
        <f t="shared" si="11"/>
        <v>88011</v>
      </c>
      <c r="W14" s="9">
        <f t="shared" si="12"/>
        <v>88011</v>
      </c>
      <c r="X14" s="9">
        <f t="shared" si="13"/>
        <v>0</v>
      </c>
      <c r="Y14" s="9">
        <f t="shared" si="14"/>
        <v>0</v>
      </c>
      <c r="Z14" s="9">
        <f t="shared" si="15"/>
        <v>0</v>
      </c>
      <c r="AA14" s="77"/>
      <c r="AB14" s="9">
        <f t="shared" si="16"/>
        <v>88011</v>
      </c>
      <c r="AC14" s="9">
        <f t="shared" si="17"/>
        <v>88011</v>
      </c>
      <c r="AD14" s="9">
        <f t="shared" si="18"/>
        <v>88011</v>
      </c>
      <c r="AE14" s="9">
        <f t="shared" si="19"/>
        <v>0</v>
      </c>
      <c r="AF14" s="9">
        <f t="shared" si="20"/>
        <v>0</v>
      </c>
      <c r="AG14" s="9">
        <f t="shared" si="21"/>
        <v>0</v>
      </c>
      <c r="AH14" s="78"/>
      <c r="AI14" s="78"/>
      <c r="AJ14" s="78"/>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row>
    <row r="15" spans="1:75" s="80" customFormat="1" ht="64.5" thickBot="1" x14ac:dyDescent="0.25">
      <c r="A15" s="118"/>
      <c r="B15" s="118"/>
      <c r="C15" s="118"/>
      <c r="D15" s="120"/>
      <c r="E15" s="118"/>
      <c r="F15" s="71" t="s">
        <v>123</v>
      </c>
      <c r="G15" s="71" t="s">
        <v>134</v>
      </c>
      <c r="H15" s="71" t="s">
        <v>102</v>
      </c>
      <c r="I15" s="71">
        <v>18</v>
      </c>
      <c r="J15" s="71">
        <v>1</v>
      </c>
      <c r="K15" s="72">
        <v>2</v>
      </c>
      <c r="L15" s="71" t="s">
        <v>91</v>
      </c>
      <c r="M15" s="73">
        <v>4050</v>
      </c>
      <c r="N15" s="71" t="s">
        <v>90</v>
      </c>
      <c r="O15" s="75">
        <v>0.48</v>
      </c>
      <c r="P15" s="75">
        <v>0</v>
      </c>
      <c r="Q15" s="75">
        <v>0</v>
      </c>
      <c r="R15" s="75">
        <v>0</v>
      </c>
      <c r="S15" s="73">
        <f t="shared" si="9"/>
        <v>37908</v>
      </c>
      <c r="T15" s="76"/>
      <c r="U15" s="9">
        <f t="shared" si="10"/>
        <v>0</v>
      </c>
      <c r="V15" s="9">
        <f t="shared" si="11"/>
        <v>37908</v>
      </c>
      <c r="W15" s="9">
        <f t="shared" si="12"/>
        <v>0</v>
      </c>
      <c r="X15" s="9">
        <f t="shared" si="13"/>
        <v>0</v>
      </c>
      <c r="Y15" s="9">
        <f t="shared" si="14"/>
        <v>0</v>
      </c>
      <c r="Z15" s="9">
        <f t="shared" si="15"/>
        <v>0</v>
      </c>
      <c r="AA15" s="77"/>
      <c r="AB15" s="9">
        <f t="shared" si="16"/>
        <v>37908</v>
      </c>
      <c r="AC15" s="9">
        <f t="shared" si="17"/>
        <v>37908</v>
      </c>
      <c r="AD15" s="9">
        <f t="shared" si="18"/>
        <v>0</v>
      </c>
      <c r="AE15" s="9">
        <f t="shared" si="19"/>
        <v>0</v>
      </c>
      <c r="AF15" s="9">
        <f t="shared" si="20"/>
        <v>0</v>
      </c>
      <c r="AG15" s="9">
        <f t="shared" si="21"/>
        <v>0</v>
      </c>
      <c r="AH15" s="78"/>
      <c r="AI15" s="78"/>
      <c r="AJ15" s="78"/>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row>
    <row r="16" spans="1:75" s="80" customFormat="1" ht="26.25" thickBot="1" x14ac:dyDescent="0.25">
      <c r="A16" s="82"/>
      <c r="B16" s="82"/>
      <c r="C16" s="82"/>
      <c r="D16" s="83"/>
      <c r="E16" s="82"/>
      <c r="F16" s="117" t="s">
        <v>125</v>
      </c>
      <c r="G16" s="71" t="s">
        <v>92</v>
      </c>
      <c r="H16" s="71" t="s">
        <v>145</v>
      </c>
      <c r="I16" s="71">
        <v>3</v>
      </c>
      <c r="J16" s="71">
        <v>1</v>
      </c>
      <c r="K16" s="72">
        <v>2</v>
      </c>
      <c r="L16" s="71" t="s">
        <v>111</v>
      </c>
      <c r="M16" s="73">
        <v>331000</v>
      </c>
      <c r="N16" s="71" t="s">
        <v>97</v>
      </c>
      <c r="O16" s="75">
        <v>1</v>
      </c>
      <c r="P16" s="75">
        <v>0</v>
      </c>
      <c r="Q16" s="75">
        <v>0</v>
      </c>
      <c r="R16" s="75">
        <v>0</v>
      </c>
      <c r="S16" s="73">
        <f t="shared" si="9"/>
        <v>0</v>
      </c>
      <c r="T16" s="76"/>
      <c r="U16" s="9">
        <f t="shared" si="10"/>
        <v>0</v>
      </c>
      <c r="V16" s="9">
        <f t="shared" si="11"/>
        <v>0</v>
      </c>
      <c r="W16" s="9">
        <f t="shared" si="12"/>
        <v>0</v>
      </c>
      <c r="X16" s="9">
        <f t="shared" si="13"/>
        <v>0</v>
      </c>
      <c r="Y16" s="9">
        <f t="shared" si="14"/>
        <v>0</v>
      </c>
      <c r="Z16" s="9">
        <f t="shared" si="15"/>
        <v>0</v>
      </c>
      <c r="AA16" s="77"/>
      <c r="AB16" s="9">
        <f t="shared" si="16"/>
        <v>0</v>
      </c>
      <c r="AC16" s="9">
        <f t="shared" si="17"/>
        <v>0</v>
      </c>
      <c r="AD16" s="9">
        <f t="shared" si="18"/>
        <v>0</v>
      </c>
      <c r="AE16" s="9">
        <f t="shared" si="19"/>
        <v>0</v>
      </c>
      <c r="AF16" s="9">
        <f t="shared" si="20"/>
        <v>0</v>
      </c>
      <c r="AG16" s="9">
        <f t="shared" si="21"/>
        <v>0</v>
      </c>
      <c r="AH16" s="78"/>
      <c r="AI16" s="78"/>
      <c r="AJ16" s="78"/>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row>
    <row r="17" spans="1:75" s="80" customFormat="1" ht="39" thickBot="1" x14ac:dyDescent="0.25">
      <c r="A17" s="82"/>
      <c r="B17" s="82"/>
      <c r="C17" s="82"/>
      <c r="D17" s="83"/>
      <c r="E17" s="82"/>
      <c r="F17" s="118"/>
      <c r="G17" s="71" t="s">
        <v>93</v>
      </c>
      <c r="H17" s="71" t="s">
        <v>145</v>
      </c>
      <c r="I17" s="71">
        <v>4</v>
      </c>
      <c r="J17" s="71">
        <v>1</v>
      </c>
      <c r="K17" s="72">
        <v>2</v>
      </c>
      <c r="L17" s="71" t="s">
        <v>112</v>
      </c>
      <c r="M17" s="73">
        <v>413600</v>
      </c>
      <c r="N17" s="71" t="s">
        <v>97</v>
      </c>
      <c r="O17" s="75">
        <v>1</v>
      </c>
      <c r="P17" s="75">
        <v>0</v>
      </c>
      <c r="Q17" s="75">
        <v>0</v>
      </c>
      <c r="R17" s="75">
        <v>0</v>
      </c>
      <c r="S17" s="73">
        <f t="shared" si="9"/>
        <v>0</v>
      </c>
      <c r="T17" s="76"/>
      <c r="U17" s="9">
        <f t="shared" si="10"/>
        <v>0</v>
      </c>
      <c r="V17" s="9">
        <f t="shared" si="11"/>
        <v>0</v>
      </c>
      <c r="W17" s="9">
        <f t="shared" si="12"/>
        <v>0</v>
      </c>
      <c r="X17" s="9">
        <f t="shared" si="13"/>
        <v>0</v>
      </c>
      <c r="Y17" s="9">
        <f t="shared" si="14"/>
        <v>0</v>
      </c>
      <c r="Z17" s="9">
        <f t="shared" si="15"/>
        <v>0</v>
      </c>
      <c r="AA17" s="77"/>
      <c r="AB17" s="9">
        <f t="shared" si="16"/>
        <v>0</v>
      </c>
      <c r="AC17" s="9">
        <f t="shared" si="17"/>
        <v>0</v>
      </c>
      <c r="AD17" s="9">
        <f t="shared" si="18"/>
        <v>0</v>
      </c>
      <c r="AE17" s="9">
        <f t="shared" si="19"/>
        <v>0</v>
      </c>
      <c r="AF17" s="9">
        <f t="shared" si="20"/>
        <v>0</v>
      </c>
      <c r="AG17" s="9">
        <f t="shared" si="21"/>
        <v>0</v>
      </c>
      <c r="AH17" s="78"/>
      <c r="AI17" s="78"/>
      <c r="AJ17" s="78"/>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row>
    <row r="18" spans="1:75" s="80" customFormat="1" ht="39" thickBot="1" x14ac:dyDescent="0.25">
      <c r="A18" s="82"/>
      <c r="B18" s="82"/>
      <c r="C18" s="82"/>
      <c r="D18" s="83"/>
      <c r="E18" s="82"/>
      <c r="F18" s="118"/>
      <c r="G18" s="71" t="s">
        <v>94</v>
      </c>
      <c r="H18" s="71" t="s">
        <v>145</v>
      </c>
      <c r="I18" s="71">
        <v>18</v>
      </c>
      <c r="J18" s="71">
        <v>1</v>
      </c>
      <c r="K18" s="72">
        <v>2</v>
      </c>
      <c r="L18" s="71" t="s">
        <v>113</v>
      </c>
      <c r="M18" s="73">
        <v>497800</v>
      </c>
      <c r="N18" s="71" t="s">
        <v>97</v>
      </c>
      <c r="O18" s="75">
        <v>1</v>
      </c>
      <c r="P18" s="75">
        <v>0</v>
      </c>
      <c r="Q18" s="75">
        <v>0</v>
      </c>
      <c r="R18" s="75">
        <v>0</v>
      </c>
      <c r="S18" s="73">
        <f t="shared" si="9"/>
        <v>0</v>
      </c>
      <c r="T18" s="76"/>
      <c r="U18" s="9">
        <f t="shared" si="10"/>
        <v>0</v>
      </c>
      <c r="V18" s="9">
        <f t="shared" si="11"/>
        <v>0</v>
      </c>
      <c r="W18" s="9">
        <f t="shared" si="12"/>
        <v>0</v>
      </c>
      <c r="X18" s="9">
        <f t="shared" si="13"/>
        <v>0</v>
      </c>
      <c r="Y18" s="9">
        <f t="shared" si="14"/>
        <v>0</v>
      </c>
      <c r="Z18" s="9">
        <f t="shared" si="15"/>
        <v>0</v>
      </c>
      <c r="AA18" s="77"/>
      <c r="AB18" s="9">
        <f t="shared" si="16"/>
        <v>0</v>
      </c>
      <c r="AC18" s="9">
        <f t="shared" si="17"/>
        <v>0</v>
      </c>
      <c r="AD18" s="9">
        <f t="shared" si="18"/>
        <v>0</v>
      </c>
      <c r="AE18" s="9">
        <f t="shared" si="19"/>
        <v>0</v>
      </c>
      <c r="AF18" s="9">
        <f t="shared" si="20"/>
        <v>0</v>
      </c>
      <c r="AG18" s="9">
        <f t="shared" si="21"/>
        <v>0</v>
      </c>
      <c r="AH18" s="78"/>
      <c r="AI18" s="78"/>
      <c r="AJ18" s="78"/>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row>
    <row r="19" spans="1:75" s="80" customFormat="1" ht="39" thickBot="1" x14ac:dyDescent="0.25">
      <c r="A19" s="82"/>
      <c r="B19" s="82"/>
      <c r="C19" s="82"/>
      <c r="D19" s="83"/>
      <c r="E19" s="82"/>
      <c r="F19" s="118"/>
      <c r="G19" s="71" t="s">
        <v>95</v>
      </c>
      <c r="H19" s="71" t="s">
        <v>145</v>
      </c>
      <c r="I19" s="71">
        <v>8</v>
      </c>
      <c r="J19" s="71">
        <v>1</v>
      </c>
      <c r="K19" s="72">
        <v>2</v>
      </c>
      <c r="L19" s="71" t="s">
        <v>114</v>
      </c>
      <c r="M19" s="73">
        <v>371800</v>
      </c>
      <c r="N19" s="71" t="s">
        <v>97</v>
      </c>
      <c r="O19" s="75">
        <v>0.59</v>
      </c>
      <c r="P19" s="75">
        <v>0</v>
      </c>
      <c r="Q19" s="75">
        <v>0.25</v>
      </c>
      <c r="R19" s="75">
        <v>0</v>
      </c>
      <c r="S19" s="73">
        <f t="shared" si="9"/>
        <v>914628</v>
      </c>
      <c r="T19" s="76"/>
      <c r="U19" s="9">
        <f t="shared" si="10"/>
        <v>0</v>
      </c>
      <c r="V19" s="9">
        <f t="shared" si="11"/>
        <v>914628</v>
      </c>
      <c r="W19" s="9">
        <f t="shared" si="12"/>
        <v>0</v>
      </c>
      <c r="X19" s="9">
        <f t="shared" si="13"/>
        <v>0</v>
      </c>
      <c r="Y19" s="9">
        <f t="shared" si="14"/>
        <v>0</v>
      </c>
      <c r="Z19" s="9">
        <f t="shared" si="15"/>
        <v>0</v>
      </c>
      <c r="AA19" s="77"/>
      <c r="AB19" s="9">
        <f t="shared" si="16"/>
        <v>914628</v>
      </c>
      <c r="AC19" s="9">
        <f t="shared" si="17"/>
        <v>914628</v>
      </c>
      <c r="AD19" s="9">
        <f t="shared" si="18"/>
        <v>0</v>
      </c>
      <c r="AE19" s="9">
        <f t="shared" si="19"/>
        <v>0</v>
      </c>
      <c r="AF19" s="9">
        <f t="shared" si="20"/>
        <v>0</v>
      </c>
      <c r="AG19" s="9">
        <f t="shared" si="21"/>
        <v>0</v>
      </c>
      <c r="AH19" s="78"/>
      <c r="AI19" s="78"/>
      <c r="AJ19" s="78"/>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row>
    <row r="20" spans="1:75" s="80" customFormat="1" ht="51.75" thickBot="1" x14ac:dyDescent="0.25">
      <c r="A20" s="82"/>
      <c r="B20" s="82"/>
      <c r="C20" s="82"/>
      <c r="D20" s="83"/>
      <c r="E20" s="82"/>
      <c r="F20" s="145"/>
      <c r="G20" s="71" t="s">
        <v>96</v>
      </c>
      <c r="H20" s="71" t="s">
        <v>145</v>
      </c>
      <c r="I20" s="71">
        <v>3</v>
      </c>
      <c r="J20" s="71">
        <v>1</v>
      </c>
      <c r="K20" s="72">
        <v>2</v>
      </c>
      <c r="L20" s="71" t="s">
        <v>115</v>
      </c>
      <c r="M20" s="73">
        <v>1254400</v>
      </c>
      <c r="N20" s="71" t="s">
        <v>97</v>
      </c>
      <c r="O20" s="75">
        <v>0.28000000000000003</v>
      </c>
      <c r="P20" s="75">
        <v>0</v>
      </c>
      <c r="Q20" s="75">
        <v>0.25</v>
      </c>
      <c r="R20" s="75">
        <v>0</v>
      </c>
      <c r="S20" s="73">
        <f t="shared" si="9"/>
        <v>2032128</v>
      </c>
      <c r="T20" s="76"/>
      <c r="U20" s="9">
        <f t="shared" si="10"/>
        <v>0</v>
      </c>
      <c r="V20" s="9">
        <f t="shared" si="11"/>
        <v>2032128</v>
      </c>
      <c r="W20" s="9">
        <f t="shared" si="12"/>
        <v>0</v>
      </c>
      <c r="X20" s="9">
        <f t="shared" si="13"/>
        <v>0</v>
      </c>
      <c r="Y20" s="9">
        <f t="shared" si="14"/>
        <v>0</v>
      </c>
      <c r="Z20" s="9">
        <f t="shared" si="15"/>
        <v>0</v>
      </c>
      <c r="AA20" s="77"/>
      <c r="AB20" s="9">
        <f t="shared" si="16"/>
        <v>2032128</v>
      </c>
      <c r="AC20" s="9">
        <f t="shared" si="17"/>
        <v>2032128</v>
      </c>
      <c r="AD20" s="9">
        <f t="shared" si="18"/>
        <v>0</v>
      </c>
      <c r="AE20" s="9">
        <f t="shared" si="19"/>
        <v>0</v>
      </c>
      <c r="AF20" s="9">
        <f t="shared" si="20"/>
        <v>0</v>
      </c>
      <c r="AG20" s="9">
        <f t="shared" si="21"/>
        <v>0</v>
      </c>
      <c r="AH20" s="78"/>
      <c r="AI20" s="78"/>
      <c r="AJ20" s="78"/>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row>
    <row r="21" spans="1:75" s="80" customFormat="1" ht="60" customHeight="1" thickBot="1" x14ac:dyDescent="0.25">
      <c r="A21" s="71" t="s">
        <v>141</v>
      </c>
      <c r="B21" s="71" t="s">
        <v>76</v>
      </c>
      <c r="C21" s="71" t="s">
        <v>116</v>
      </c>
      <c r="D21" s="84">
        <f>1004762+199940</f>
        <v>1204702</v>
      </c>
      <c r="E21" s="71" t="s">
        <v>77</v>
      </c>
      <c r="F21" s="71" t="s">
        <v>131</v>
      </c>
      <c r="G21" s="71" t="s">
        <v>62</v>
      </c>
      <c r="H21" s="71" t="s">
        <v>74</v>
      </c>
      <c r="I21" s="71"/>
      <c r="J21" s="71"/>
      <c r="K21" s="72"/>
      <c r="L21" s="71"/>
      <c r="M21" s="73"/>
      <c r="N21" s="71"/>
      <c r="O21" s="75">
        <v>0</v>
      </c>
      <c r="P21" s="75">
        <v>0</v>
      </c>
      <c r="Q21" s="75">
        <v>0</v>
      </c>
      <c r="R21" s="75">
        <v>0</v>
      </c>
      <c r="S21" s="73">
        <f t="shared" si="9"/>
        <v>0</v>
      </c>
      <c r="T21" s="76"/>
      <c r="U21" s="9">
        <f t="shared" si="10"/>
        <v>0</v>
      </c>
      <c r="V21" s="9">
        <f t="shared" si="11"/>
        <v>0</v>
      </c>
      <c r="W21" s="9">
        <f t="shared" si="12"/>
        <v>0</v>
      </c>
      <c r="X21" s="9">
        <f t="shared" si="13"/>
        <v>0</v>
      </c>
      <c r="Y21" s="9">
        <f t="shared" si="14"/>
        <v>0</v>
      </c>
      <c r="Z21" s="9">
        <f t="shared" si="15"/>
        <v>0</v>
      </c>
      <c r="AA21" s="77"/>
      <c r="AB21" s="9">
        <f t="shared" si="16"/>
        <v>0</v>
      </c>
      <c r="AC21" s="9">
        <f t="shared" si="17"/>
        <v>0</v>
      </c>
      <c r="AD21" s="9">
        <f t="shared" si="18"/>
        <v>0</v>
      </c>
      <c r="AE21" s="9">
        <f t="shared" si="19"/>
        <v>0</v>
      </c>
      <c r="AF21" s="9">
        <f t="shared" si="20"/>
        <v>0</v>
      </c>
      <c r="AG21" s="9">
        <f t="shared" si="21"/>
        <v>0</v>
      </c>
      <c r="AH21" s="78"/>
      <c r="AI21" s="78"/>
      <c r="AJ21" s="78"/>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row>
    <row r="22" spans="1:75" s="80" customFormat="1" ht="81.75" customHeight="1" thickBot="1" x14ac:dyDescent="0.25">
      <c r="A22" s="117" t="s">
        <v>142</v>
      </c>
      <c r="B22" s="117" t="s">
        <v>50</v>
      </c>
      <c r="C22" s="117" t="s">
        <v>65</v>
      </c>
      <c r="D22" s="119">
        <v>0</v>
      </c>
      <c r="E22" s="117" t="s">
        <v>70</v>
      </c>
      <c r="F22" s="71" t="s">
        <v>130</v>
      </c>
      <c r="G22" s="71" t="s">
        <v>99</v>
      </c>
      <c r="H22" s="71" t="s">
        <v>75</v>
      </c>
      <c r="I22" s="71"/>
      <c r="J22" s="71"/>
      <c r="K22" s="72"/>
      <c r="L22" s="85"/>
      <c r="M22" s="73"/>
      <c r="N22" s="85"/>
      <c r="O22" s="75">
        <v>0</v>
      </c>
      <c r="P22" s="75">
        <v>0</v>
      </c>
      <c r="Q22" s="75">
        <v>0</v>
      </c>
      <c r="R22" s="75">
        <v>0</v>
      </c>
      <c r="S22" s="73">
        <f t="shared" si="9"/>
        <v>0</v>
      </c>
      <c r="T22" s="76"/>
      <c r="U22" s="9">
        <f t="shared" si="10"/>
        <v>0</v>
      </c>
      <c r="V22" s="9">
        <f t="shared" si="11"/>
        <v>0</v>
      </c>
      <c r="W22" s="9">
        <f t="shared" si="12"/>
        <v>0</v>
      </c>
      <c r="X22" s="9">
        <f t="shared" si="13"/>
        <v>0</v>
      </c>
      <c r="Y22" s="9">
        <f t="shared" si="14"/>
        <v>0</v>
      </c>
      <c r="Z22" s="9">
        <f t="shared" si="15"/>
        <v>0</v>
      </c>
      <c r="AA22" s="77"/>
      <c r="AB22" s="9">
        <f t="shared" si="16"/>
        <v>0</v>
      </c>
      <c r="AC22" s="9">
        <f t="shared" si="17"/>
        <v>0</v>
      </c>
      <c r="AD22" s="9">
        <f t="shared" si="18"/>
        <v>0</v>
      </c>
      <c r="AE22" s="9">
        <f t="shared" si="19"/>
        <v>0</v>
      </c>
      <c r="AF22" s="9">
        <f t="shared" si="20"/>
        <v>0</v>
      </c>
      <c r="AG22" s="9">
        <f t="shared" si="21"/>
        <v>0</v>
      </c>
      <c r="AH22" s="78"/>
      <c r="AI22" s="78"/>
      <c r="AJ22" s="78"/>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row>
    <row r="23" spans="1:75" s="80" customFormat="1" ht="39" customHeight="1" thickBot="1" x14ac:dyDescent="0.25">
      <c r="A23" s="145"/>
      <c r="B23" s="145"/>
      <c r="C23" s="145"/>
      <c r="D23" s="146"/>
      <c r="E23" s="145"/>
      <c r="F23" s="71" t="s">
        <v>126</v>
      </c>
      <c r="G23" s="71" t="s">
        <v>135</v>
      </c>
      <c r="H23" s="71" t="s">
        <v>75</v>
      </c>
      <c r="I23" s="71">
        <v>26</v>
      </c>
      <c r="J23" s="71">
        <v>2</v>
      </c>
      <c r="K23" s="72">
        <v>2</v>
      </c>
      <c r="L23" s="71" t="s">
        <v>100</v>
      </c>
      <c r="M23" s="73">
        <v>150</v>
      </c>
      <c r="N23" s="86" t="s">
        <v>101</v>
      </c>
      <c r="O23" s="75">
        <v>0.3</v>
      </c>
      <c r="P23" s="75">
        <v>0.25</v>
      </c>
      <c r="Q23" s="75">
        <v>0</v>
      </c>
      <c r="R23" s="75">
        <v>0</v>
      </c>
      <c r="S23" s="73">
        <f t="shared" si="9"/>
        <v>2047.5</v>
      </c>
      <c r="T23" s="76"/>
      <c r="U23" s="9">
        <f t="shared" si="10"/>
        <v>0</v>
      </c>
      <c r="V23" s="9">
        <f t="shared" si="11"/>
        <v>2047.5</v>
      </c>
      <c r="W23" s="9">
        <f t="shared" si="12"/>
        <v>2047.5</v>
      </c>
      <c r="X23" s="9">
        <f t="shared" si="13"/>
        <v>0</v>
      </c>
      <c r="Y23" s="9">
        <f t="shared" si="14"/>
        <v>0</v>
      </c>
      <c r="Z23" s="9">
        <f t="shared" si="15"/>
        <v>0</v>
      </c>
      <c r="AA23" s="77"/>
      <c r="AB23" s="9">
        <f t="shared" si="16"/>
        <v>2047.5</v>
      </c>
      <c r="AC23" s="9">
        <f t="shared" si="17"/>
        <v>2047.5</v>
      </c>
      <c r="AD23" s="9">
        <f t="shared" si="18"/>
        <v>2047.5</v>
      </c>
      <c r="AE23" s="9">
        <f t="shared" si="19"/>
        <v>0</v>
      </c>
      <c r="AF23" s="9">
        <f t="shared" si="20"/>
        <v>0</v>
      </c>
      <c r="AG23" s="9">
        <f t="shared" si="21"/>
        <v>0</v>
      </c>
      <c r="AH23" s="78"/>
      <c r="AI23" s="78"/>
      <c r="AJ23" s="78"/>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row>
    <row r="24" spans="1:75" s="80" customFormat="1" ht="30.75" customHeight="1" thickBot="1" x14ac:dyDescent="0.25">
      <c r="A24" s="117" t="s">
        <v>143</v>
      </c>
      <c r="B24" s="117" t="s">
        <v>55</v>
      </c>
      <c r="C24" s="117" t="s">
        <v>66</v>
      </c>
      <c r="D24" s="119">
        <v>4092</v>
      </c>
      <c r="E24" s="117" t="s">
        <v>71</v>
      </c>
      <c r="F24" s="71" t="s">
        <v>127</v>
      </c>
      <c r="G24" s="71" t="s">
        <v>136</v>
      </c>
      <c r="H24" s="71" t="s">
        <v>60</v>
      </c>
      <c r="I24" s="71">
        <v>5</v>
      </c>
      <c r="J24" s="71">
        <v>3</v>
      </c>
      <c r="K24" s="72">
        <v>2</v>
      </c>
      <c r="L24" s="72" t="s">
        <v>104</v>
      </c>
      <c r="M24" s="73">
        <v>1091</v>
      </c>
      <c r="N24" s="71" t="s">
        <v>105</v>
      </c>
      <c r="O24" s="75">
        <v>0</v>
      </c>
      <c r="P24" s="75">
        <v>0</v>
      </c>
      <c r="Q24" s="75">
        <v>0</v>
      </c>
      <c r="R24" s="75">
        <v>0</v>
      </c>
      <c r="S24" s="73">
        <f t="shared" si="9"/>
        <v>5455</v>
      </c>
      <c r="T24" s="76"/>
      <c r="U24" s="9">
        <f t="shared" si="10"/>
        <v>0</v>
      </c>
      <c r="V24" s="9">
        <f t="shared" si="11"/>
        <v>5455</v>
      </c>
      <c r="W24" s="9">
        <f t="shared" si="12"/>
        <v>5455</v>
      </c>
      <c r="X24" s="9">
        <f t="shared" si="13"/>
        <v>5455</v>
      </c>
      <c r="Y24" s="9">
        <f t="shared" si="14"/>
        <v>0</v>
      </c>
      <c r="Z24" s="9">
        <f t="shared" si="15"/>
        <v>0</v>
      </c>
      <c r="AA24" s="77"/>
      <c r="AB24" s="9">
        <f t="shared" si="16"/>
        <v>5455</v>
      </c>
      <c r="AC24" s="9">
        <f t="shared" si="17"/>
        <v>5455</v>
      </c>
      <c r="AD24" s="9">
        <f t="shared" si="18"/>
        <v>5455</v>
      </c>
      <c r="AE24" s="9">
        <f t="shared" si="19"/>
        <v>5455</v>
      </c>
      <c r="AF24" s="9">
        <f t="shared" si="20"/>
        <v>0</v>
      </c>
      <c r="AG24" s="9">
        <f t="shared" si="21"/>
        <v>0</v>
      </c>
      <c r="AH24" s="78"/>
      <c r="AI24" s="78"/>
      <c r="AJ24" s="78"/>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row>
    <row r="25" spans="1:75" s="80" customFormat="1" ht="51.75" thickBot="1" x14ac:dyDescent="0.25">
      <c r="A25" s="118"/>
      <c r="B25" s="118"/>
      <c r="C25" s="118"/>
      <c r="D25" s="120"/>
      <c r="E25" s="118"/>
      <c r="F25" s="71" t="s">
        <v>128</v>
      </c>
      <c r="G25" s="71" t="s">
        <v>136</v>
      </c>
      <c r="H25" s="71" t="s">
        <v>60</v>
      </c>
      <c r="I25" s="71">
        <v>5</v>
      </c>
      <c r="J25" s="71">
        <v>3</v>
      </c>
      <c r="K25" s="72">
        <v>2</v>
      </c>
      <c r="L25" s="72" t="s">
        <v>103</v>
      </c>
      <c r="M25" s="87">
        <v>2164</v>
      </c>
      <c r="N25" s="71" t="s">
        <v>105</v>
      </c>
      <c r="O25" s="75">
        <v>0</v>
      </c>
      <c r="P25" s="75">
        <v>0</v>
      </c>
      <c r="Q25" s="75">
        <v>0</v>
      </c>
      <c r="R25" s="75">
        <v>0.1</v>
      </c>
      <c r="S25" s="73">
        <f t="shared" si="9"/>
        <v>10820</v>
      </c>
      <c r="T25" s="76"/>
      <c r="U25" s="9">
        <f t="shared" si="10"/>
        <v>0</v>
      </c>
      <c r="V25" s="9">
        <f t="shared" si="11"/>
        <v>10820</v>
      </c>
      <c r="W25" s="9">
        <f t="shared" si="12"/>
        <v>9738</v>
      </c>
      <c r="X25" s="9">
        <f t="shared" si="13"/>
        <v>8764.2000000000007</v>
      </c>
      <c r="Y25" s="9">
        <f t="shared" si="14"/>
        <v>0</v>
      </c>
      <c r="Z25" s="9">
        <f t="shared" si="15"/>
        <v>0</v>
      </c>
      <c r="AA25" s="77"/>
      <c r="AB25" s="9">
        <f t="shared" si="16"/>
        <v>10820</v>
      </c>
      <c r="AC25" s="9">
        <f t="shared" si="17"/>
        <v>10820</v>
      </c>
      <c r="AD25" s="9">
        <f t="shared" si="18"/>
        <v>9738</v>
      </c>
      <c r="AE25" s="9">
        <f t="shared" si="19"/>
        <v>8764.2000000000007</v>
      </c>
      <c r="AF25" s="9">
        <f t="shared" si="20"/>
        <v>0</v>
      </c>
      <c r="AG25" s="9">
        <f t="shared" si="21"/>
        <v>0</v>
      </c>
      <c r="AH25" s="78"/>
      <c r="AI25" s="78"/>
      <c r="AJ25" s="78"/>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row>
    <row r="26" spans="1:75" s="80" customFormat="1" ht="26.25" thickBot="1" x14ac:dyDescent="0.25">
      <c r="A26" s="71" t="s">
        <v>64</v>
      </c>
      <c r="B26" s="71"/>
      <c r="C26" s="71"/>
      <c r="D26" s="71">
        <v>0</v>
      </c>
      <c r="E26" s="71"/>
      <c r="F26" s="71" t="s">
        <v>129</v>
      </c>
      <c r="G26" s="71" t="s">
        <v>72</v>
      </c>
      <c r="H26" s="71" t="s">
        <v>73</v>
      </c>
      <c r="I26" s="71"/>
      <c r="J26" s="71"/>
      <c r="K26" s="72"/>
      <c r="L26" s="72"/>
      <c r="M26" s="72"/>
      <c r="N26" s="85"/>
      <c r="O26" s="75">
        <v>0</v>
      </c>
      <c r="P26" s="75">
        <v>0</v>
      </c>
      <c r="Q26" s="75">
        <v>0</v>
      </c>
      <c r="R26" s="75">
        <v>0</v>
      </c>
      <c r="S26" s="73">
        <f t="shared" si="9"/>
        <v>0</v>
      </c>
      <c r="T26" s="76"/>
      <c r="U26" s="9">
        <f t="shared" si="10"/>
        <v>0</v>
      </c>
      <c r="V26" s="9">
        <f t="shared" si="11"/>
        <v>0</v>
      </c>
      <c r="W26" s="9">
        <f t="shared" si="12"/>
        <v>0</v>
      </c>
      <c r="X26" s="9">
        <f t="shared" si="13"/>
        <v>0</v>
      </c>
      <c r="Y26" s="9">
        <f t="shared" si="14"/>
        <v>0</v>
      </c>
      <c r="Z26" s="9">
        <f t="shared" si="15"/>
        <v>0</v>
      </c>
      <c r="AA26" s="77"/>
      <c r="AB26" s="9">
        <f t="shared" si="16"/>
        <v>0</v>
      </c>
      <c r="AC26" s="9">
        <f t="shared" si="17"/>
        <v>0</v>
      </c>
      <c r="AD26" s="9">
        <f t="shared" si="18"/>
        <v>0</v>
      </c>
      <c r="AE26" s="9">
        <f t="shared" si="19"/>
        <v>0</v>
      </c>
      <c r="AF26" s="9">
        <f t="shared" si="20"/>
        <v>0</v>
      </c>
      <c r="AG26" s="9">
        <f t="shared" si="21"/>
        <v>0</v>
      </c>
      <c r="AH26" s="78"/>
      <c r="AI26" s="78"/>
      <c r="AJ26" s="78"/>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row>
    <row r="27" spans="1:75" ht="13.5" thickBot="1" x14ac:dyDescent="0.25">
      <c r="D27" s="89"/>
      <c r="O27" s="90"/>
      <c r="P27" s="90"/>
      <c r="Q27" s="90"/>
      <c r="R27" s="90"/>
      <c r="S27" s="10"/>
      <c r="T27" s="91"/>
      <c r="U27" s="10"/>
      <c r="V27" s="10"/>
      <c r="W27" s="10"/>
      <c r="X27" s="10"/>
      <c r="Y27" s="10"/>
      <c r="Z27" s="10"/>
      <c r="AA27" s="92"/>
      <c r="AB27" s="10"/>
      <c r="AC27" s="10"/>
      <c r="AD27" s="10"/>
      <c r="AE27" s="10"/>
      <c r="AF27" s="10"/>
      <c r="AG27" s="10"/>
    </row>
    <row r="28" spans="1:75" ht="16.5" thickBot="1" x14ac:dyDescent="0.3">
      <c r="A28" s="93" t="s">
        <v>8</v>
      </c>
      <c r="B28" s="94"/>
      <c r="C28" s="94"/>
      <c r="D28" s="84">
        <f>SUM(D8:D26)</f>
        <v>1746912</v>
      </c>
      <c r="E28" s="94"/>
      <c r="F28" s="94"/>
      <c r="G28" s="94"/>
      <c r="H28" s="94"/>
      <c r="I28" s="94"/>
      <c r="J28" s="94"/>
      <c r="K28" s="95"/>
      <c r="L28" s="94"/>
      <c r="M28" s="5"/>
      <c r="N28" s="94"/>
      <c r="O28" s="96"/>
      <c r="P28" s="96"/>
      <c r="Q28" s="96"/>
      <c r="R28" s="93" t="s">
        <v>8</v>
      </c>
      <c r="S28" s="11">
        <f>SUM(S8:S26)</f>
        <v>3395908.25</v>
      </c>
      <c r="T28" s="91"/>
      <c r="U28" s="11">
        <f>SUM(U8:U26)</f>
        <v>0</v>
      </c>
      <c r="V28" s="11">
        <f t="shared" ref="V28:Z28" si="22">SUM(V8:V26)</f>
        <v>3395908.25</v>
      </c>
      <c r="W28" s="11">
        <f t="shared" si="22"/>
        <v>120101.5</v>
      </c>
      <c r="X28" s="11">
        <f t="shared" si="22"/>
        <v>14219.2</v>
      </c>
      <c r="Y28" s="11">
        <f t="shared" si="22"/>
        <v>0</v>
      </c>
      <c r="Z28" s="11">
        <f t="shared" si="22"/>
        <v>0</v>
      </c>
      <c r="AA28" s="92"/>
      <c r="AB28" s="15"/>
      <c r="AC28" s="15"/>
      <c r="AD28" s="15"/>
      <c r="AE28" s="15"/>
      <c r="AF28" s="15"/>
      <c r="AG28" s="15"/>
    </row>
    <row r="29" spans="1:75" x14ac:dyDescent="0.2">
      <c r="T29" s="97"/>
      <c r="U29" s="1"/>
      <c r="V29" s="1"/>
      <c r="W29" s="1"/>
      <c r="X29" s="1"/>
      <c r="Y29" s="1"/>
      <c r="Z29" s="2"/>
      <c r="AB29" s="4"/>
      <c r="AC29" s="4"/>
      <c r="AD29" s="4"/>
      <c r="AE29" s="4"/>
      <c r="AF29" s="4"/>
      <c r="AG29" s="5"/>
    </row>
    <row r="30" spans="1:75" ht="20.100000000000001" customHeight="1" x14ac:dyDescent="0.2">
      <c r="B30" s="98"/>
      <c r="R30" s="99" t="s">
        <v>9</v>
      </c>
      <c r="S30" s="100"/>
      <c r="T30" s="101"/>
      <c r="U30" s="11">
        <f>+U28</f>
        <v>0</v>
      </c>
      <c r="V30" s="11">
        <f>+V28/(1+W6)</f>
        <v>3313081.2195121953</v>
      </c>
      <c r="W30" s="11">
        <f>+W28/((1+W6)*(1+W6))</f>
        <v>114314.33670434266</v>
      </c>
      <c r="X30" s="11">
        <f>+X28/((1+W6)*(1+W6)*(1+W6))</f>
        <v>13203.940743750092</v>
      </c>
      <c r="Y30" s="11">
        <f>+Y28/((1+W6)*(1+W6)*(1+W6)*(1+W6))</f>
        <v>0</v>
      </c>
      <c r="Z30" s="11">
        <f>+Z28/((1+W6)*(1+W6)*(1+W6)*(1+W6)*(1+W6))</f>
        <v>0</v>
      </c>
      <c r="AA30" s="102"/>
      <c r="AB30" s="15"/>
      <c r="AC30" s="15"/>
      <c r="AD30" s="15"/>
      <c r="AE30" s="15"/>
      <c r="AF30" s="15"/>
      <c r="AG30" s="15"/>
    </row>
    <row r="31" spans="1:75" ht="20.100000000000001" customHeight="1" x14ac:dyDescent="0.2">
      <c r="R31" s="103" t="s">
        <v>10</v>
      </c>
      <c r="S31" s="104"/>
      <c r="T31" s="105"/>
      <c r="U31" s="106"/>
      <c r="V31" s="12"/>
      <c r="W31" s="12"/>
      <c r="X31" s="12"/>
      <c r="Y31" s="13"/>
      <c r="Z31" s="11">
        <f>SUM(U30:Z30)</f>
        <v>3440599.4969602879</v>
      </c>
      <c r="AB31" s="15"/>
      <c r="AC31" s="15"/>
      <c r="AD31" s="15"/>
      <c r="AE31" s="15"/>
      <c r="AF31" s="15"/>
      <c r="AG31" s="15"/>
    </row>
    <row r="32" spans="1:75" ht="20.100000000000001" customHeight="1" x14ac:dyDescent="0.2">
      <c r="R32" s="7" t="s">
        <v>38</v>
      </c>
      <c r="S32" s="107"/>
      <c r="T32" s="27"/>
      <c r="U32" s="108"/>
      <c r="V32" s="15"/>
      <c r="W32" s="15"/>
      <c r="X32" s="15"/>
      <c r="Y32" s="15"/>
      <c r="Z32" s="6">
        <f>+Z31-D28</f>
        <v>1693687.4969602879</v>
      </c>
      <c r="AB32" s="15"/>
      <c r="AC32" s="15"/>
      <c r="AD32" s="15"/>
      <c r="AE32" s="15"/>
      <c r="AF32" s="15"/>
      <c r="AG32" s="16"/>
    </row>
    <row r="33" spans="6:33" ht="20.100000000000001" customHeight="1" x14ac:dyDescent="0.2">
      <c r="F33" s="88" t="s">
        <v>47</v>
      </c>
      <c r="R33" s="8" t="s">
        <v>39</v>
      </c>
      <c r="S33" s="104"/>
      <c r="T33" s="27"/>
      <c r="U33" s="109"/>
      <c r="V33" s="12"/>
      <c r="W33" s="12"/>
      <c r="X33" s="12"/>
      <c r="Y33" s="13"/>
      <c r="Z33" s="14"/>
      <c r="AB33" s="15"/>
      <c r="AC33" s="15"/>
      <c r="AD33" s="15"/>
      <c r="AE33" s="15"/>
      <c r="AF33" s="15"/>
      <c r="AG33" s="16"/>
    </row>
    <row r="34" spans="6:33" ht="20.100000000000001" customHeight="1" x14ac:dyDescent="0.2">
      <c r="R34" s="7" t="s">
        <v>40</v>
      </c>
      <c r="S34" s="107"/>
      <c r="T34" s="27"/>
      <c r="U34" s="110"/>
      <c r="V34" s="94"/>
      <c r="W34" s="94"/>
      <c r="X34" s="94"/>
      <c r="Y34" s="94"/>
      <c r="Z34" s="6">
        <f>+Z31/D28</f>
        <v>1.9695322357166749</v>
      </c>
      <c r="AB34" s="94"/>
      <c r="AC34" s="94"/>
      <c r="AD34" s="94"/>
      <c r="AE34" s="94"/>
      <c r="AF34" s="94"/>
      <c r="AG34" s="16"/>
    </row>
    <row r="35" spans="6:33" ht="20.100000000000001" customHeight="1" x14ac:dyDescent="0.2">
      <c r="R35" s="111" t="s">
        <v>46</v>
      </c>
      <c r="S35" s="104"/>
      <c r="T35" s="112"/>
      <c r="U35" s="113"/>
      <c r="V35" s="114"/>
      <c r="W35" s="114"/>
      <c r="X35" s="114"/>
      <c r="Y35" s="114"/>
      <c r="Z35" s="115"/>
      <c r="AA35" s="110"/>
      <c r="AB35" s="94"/>
      <c r="AC35" s="94"/>
      <c r="AD35" s="94"/>
      <c r="AE35" s="94"/>
      <c r="AF35" s="94"/>
      <c r="AG35" s="94"/>
    </row>
    <row r="36" spans="6:33" x14ac:dyDescent="0.2">
      <c r="T36" s="116"/>
    </row>
    <row r="37" spans="6:33" x14ac:dyDescent="0.2">
      <c r="AB37" s="94"/>
      <c r="AC37" s="94"/>
      <c r="AD37" s="94"/>
      <c r="AE37" s="94"/>
      <c r="AF37" s="94"/>
      <c r="AG37" s="5"/>
    </row>
    <row r="38" spans="6:33" x14ac:dyDescent="0.2">
      <c r="AB38" s="94"/>
      <c r="AC38" s="3"/>
      <c r="AD38" s="3"/>
      <c r="AE38" s="3"/>
      <c r="AF38" s="3"/>
      <c r="AG38" s="5"/>
    </row>
    <row r="39" spans="6:33" x14ac:dyDescent="0.2">
      <c r="AB39" s="94"/>
      <c r="AC39" s="3"/>
      <c r="AD39" s="3"/>
      <c r="AE39" s="3"/>
      <c r="AF39" s="3"/>
      <c r="AG39" s="5"/>
    </row>
    <row r="40" spans="6:33" x14ac:dyDescent="0.2">
      <c r="AB40" s="94"/>
      <c r="AC40" s="3"/>
      <c r="AD40" s="3"/>
      <c r="AE40" s="3"/>
      <c r="AF40" s="3"/>
      <c r="AG40" s="5"/>
    </row>
    <row r="41" spans="6:33" x14ac:dyDescent="0.2">
      <c r="AB41" s="4"/>
      <c r="AC41" s="4"/>
      <c r="AD41" s="4"/>
      <c r="AE41" s="4"/>
      <c r="AF41" s="4"/>
      <c r="AG41" s="5"/>
    </row>
  </sheetData>
  <sheetProtection password="CAB5" sheet="1" objects="1" scenarios="1"/>
  <mergeCells count="46">
    <mergeCell ref="A13:A15"/>
    <mergeCell ref="F16:F20"/>
    <mergeCell ref="A22:A23"/>
    <mergeCell ref="B22:B23"/>
    <mergeCell ref="C22:C23"/>
    <mergeCell ref="D22:D23"/>
    <mergeCell ref="E22:E23"/>
    <mergeCell ref="E13:E15"/>
    <mergeCell ref="D13:D15"/>
    <mergeCell ref="C13:C15"/>
    <mergeCell ref="B13:B15"/>
    <mergeCell ref="B8:B10"/>
    <mergeCell ref="C8:C10"/>
    <mergeCell ref="D8:D10"/>
    <mergeCell ref="E8:E10"/>
    <mergeCell ref="A8:A10"/>
    <mergeCell ref="E11:E12"/>
    <mergeCell ref="D11:D12"/>
    <mergeCell ref="C11:C12"/>
    <mergeCell ref="B11:B12"/>
    <mergeCell ref="A11:A12"/>
    <mergeCell ref="A1:H1"/>
    <mergeCell ref="A6:A7"/>
    <mergeCell ref="B6:B7"/>
    <mergeCell ref="C6:C7"/>
    <mergeCell ref="D6:D7"/>
    <mergeCell ref="E6:E7"/>
    <mergeCell ref="C5:D5"/>
    <mergeCell ref="P6:P7"/>
    <mergeCell ref="O6:O7"/>
    <mergeCell ref="F5:N5"/>
    <mergeCell ref="O4:P4"/>
    <mergeCell ref="AB6:AC6"/>
    <mergeCell ref="S6:S7"/>
    <mergeCell ref="AB5:AG5"/>
    <mergeCell ref="AF6:AG6"/>
    <mergeCell ref="R6:R7"/>
    <mergeCell ref="Q6:Q7"/>
    <mergeCell ref="U5:Z5"/>
    <mergeCell ref="U6:V6"/>
    <mergeCell ref="Y6:Z6"/>
    <mergeCell ref="A24:A25"/>
    <mergeCell ref="B24:B25"/>
    <mergeCell ref="C24:C25"/>
    <mergeCell ref="D24:D25"/>
    <mergeCell ref="E24:E25"/>
  </mergeCells>
  <phoneticPr fontId="0" type="noConversion"/>
  <hyperlinks>
    <hyperlink ref="N9" r:id="rId1"/>
    <hyperlink ref="N23" r:id="rId2"/>
  </hyperlinks>
  <pageMargins left="0.75" right="0.75" top="1" bottom="1" header="0.5" footer="0.5"/>
  <pageSetup paperSize="9" orientation="portrait"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impact map</vt:lpstr>
    </vt:vector>
  </TitlesOfParts>
  <Company>betamodel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Nicholls</dc:creator>
  <cp:lastModifiedBy>Sam Rauschenberg</cp:lastModifiedBy>
  <dcterms:created xsi:type="dcterms:W3CDTF">2008-09-14T13:53:09Z</dcterms:created>
  <dcterms:modified xsi:type="dcterms:W3CDTF">2015-06-05T17:38:49Z</dcterms:modified>
</cp:coreProperties>
</file>