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Race to the Top\RT3 Evaluation\SROI\Drafts\Final Draft\"/>
    </mc:Choice>
  </mc:AlternateContent>
  <bookViews>
    <workbookView xWindow="0" yWindow="0" windowWidth="18645" windowHeight="11985"/>
  </bookViews>
  <sheets>
    <sheet name="impact map" sheetId="1" r:id="rId1"/>
  </sheets>
  <calcPr calcId="152511"/>
</workbook>
</file>

<file path=xl/calcChain.xml><?xml version="1.0" encoding="utf-8"?>
<calcChain xmlns="http://schemas.openxmlformats.org/spreadsheetml/2006/main">
  <c r="M17" i="1" l="1"/>
  <c r="M14" i="1" l="1"/>
  <c r="M13" i="1"/>
  <c r="M11" i="1"/>
  <c r="AG9" i="1" l="1"/>
  <c r="Z9" i="1" s="1"/>
  <c r="AD10" i="1"/>
  <c r="W10" i="1" s="1"/>
  <c r="AE10" i="1"/>
  <c r="X10" i="1" s="1"/>
  <c r="AF10" i="1"/>
  <c r="Y10" i="1" s="1"/>
  <c r="AG10" i="1"/>
  <c r="AD11" i="1"/>
  <c r="W11" i="1" s="1"/>
  <c r="AE11" i="1"/>
  <c r="X11" i="1" s="1"/>
  <c r="AF11" i="1"/>
  <c r="Y11" i="1" s="1"/>
  <c r="AG11" i="1"/>
  <c r="Z11" i="1" s="1"/>
  <c r="AD12" i="1"/>
  <c r="W12" i="1" s="1"/>
  <c r="AE12" i="1"/>
  <c r="X12" i="1" s="1"/>
  <c r="AF12" i="1"/>
  <c r="Y12" i="1" s="1"/>
  <c r="AG12" i="1"/>
  <c r="Z12" i="1" s="1"/>
  <c r="AD13" i="1"/>
  <c r="W13" i="1" s="1"/>
  <c r="AE13" i="1"/>
  <c r="X13" i="1" s="1"/>
  <c r="AF13" i="1"/>
  <c r="Y13" i="1" s="1"/>
  <c r="AG13" i="1"/>
  <c r="Z13" i="1" s="1"/>
  <c r="AD14" i="1"/>
  <c r="W14" i="1" s="1"/>
  <c r="AE14" i="1"/>
  <c r="X14" i="1" s="1"/>
  <c r="AF14" i="1"/>
  <c r="Y14" i="1" s="1"/>
  <c r="AG14" i="1"/>
  <c r="Z14" i="1" s="1"/>
  <c r="AC15" i="1"/>
  <c r="AD15" i="1"/>
  <c r="W15" i="1" s="1"/>
  <c r="AE15" i="1"/>
  <c r="AF15" i="1"/>
  <c r="AG15" i="1"/>
  <c r="AD16" i="1"/>
  <c r="W16" i="1" s="1"/>
  <c r="AE16" i="1"/>
  <c r="AF16" i="1"/>
  <c r="Y16" i="1" s="1"/>
  <c r="AG16" i="1"/>
  <c r="Z16" i="1" s="1"/>
  <c r="AD17" i="1"/>
  <c r="W17" i="1" s="1"/>
  <c r="AE17" i="1"/>
  <c r="AF17" i="1"/>
  <c r="Y17" i="1" s="1"/>
  <c r="AG17" i="1"/>
  <c r="Z17" i="1" s="1"/>
  <c r="AD18" i="1"/>
  <c r="W18" i="1" s="1"/>
  <c r="AE18" i="1"/>
  <c r="X18" i="1" s="1"/>
  <c r="AF18" i="1"/>
  <c r="AG18" i="1"/>
  <c r="Z18" i="1" s="1"/>
  <c r="AC19" i="1"/>
  <c r="AD19" i="1"/>
  <c r="AE19" i="1"/>
  <c r="AF19" i="1"/>
  <c r="AG19" i="1"/>
  <c r="Z19" i="1" s="1"/>
  <c r="AC20" i="1"/>
  <c r="AD20" i="1"/>
  <c r="AE20" i="1"/>
  <c r="AF20" i="1"/>
  <c r="Y20" i="1" s="1"/>
  <c r="AG20" i="1"/>
  <c r="AD21" i="1"/>
  <c r="AE21" i="1"/>
  <c r="X21" i="1" s="1"/>
  <c r="AF21" i="1"/>
  <c r="Y21" i="1" s="1"/>
  <c r="AG21" i="1"/>
  <c r="Z21" i="1" s="1"/>
  <c r="AC22" i="1"/>
  <c r="AD22" i="1"/>
  <c r="W22" i="1" s="1"/>
  <c r="AE22" i="1"/>
  <c r="X22" i="1" s="1"/>
  <c r="AF22" i="1"/>
  <c r="AG22" i="1"/>
  <c r="AC23" i="1"/>
  <c r="AD23" i="1"/>
  <c r="W23" i="1" s="1"/>
  <c r="AE23" i="1"/>
  <c r="AF23" i="1"/>
  <c r="Y23" i="1" s="1"/>
  <c r="AG23" i="1"/>
  <c r="AG24" i="1"/>
  <c r="Z24" i="1" s="1"/>
  <c r="U9" i="1"/>
  <c r="U10" i="1"/>
  <c r="Z10" i="1"/>
  <c r="U11" i="1"/>
  <c r="U12" i="1"/>
  <c r="U13" i="1"/>
  <c r="U14" i="1"/>
  <c r="U15" i="1"/>
  <c r="X15" i="1"/>
  <c r="Y15" i="1"/>
  <c r="Z15" i="1"/>
  <c r="U16" i="1"/>
  <c r="X16" i="1"/>
  <c r="U17" i="1"/>
  <c r="X17" i="1"/>
  <c r="U18" i="1"/>
  <c r="Y18" i="1"/>
  <c r="U19" i="1"/>
  <c r="W19" i="1"/>
  <c r="X19" i="1"/>
  <c r="Y19" i="1"/>
  <c r="U20" i="1"/>
  <c r="W20" i="1"/>
  <c r="X20" i="1"/>
  <c r="Z20" i="1"/>
  <c r="U21" i="1"/>
  <c r="W21" i="1"/>
  <c r="U22" i="1"/>
  <c r="Y22" i="1"/>
  <c r="Z22" i="1"/>
  <c r="U23" i="1"/>
  <c r="X23" i="1"/>
  <c r="Z23" i="1"/>
  <c r="U24" i="1"/>
  <c r="U25" i="1"/>
  <c r="S23" i="1" l="1"/>
  <c r="AB23" i="1" s="1"/>
  <c r="V23" i="1" s="1"/>
  <c r="S24" i="1"/>
  <c r="AB24" i="1" l="1"/>
  <c r="V24" i="1" s="1"/>
  <c r="AC24" i="1"/>
  <c r="AD24" i="1" s="1"/>
  <c r="S18" i="1"/>
  <c r="S17" i="1"/>
  <c r="AB17" i="1" l="1"/>
  <c r="V17" i="1" s="1"/>
  <c r="AC17" i="1"/>
  <c r="AB18" i="1"/>
  <c r="V18" i="1" s="1"/>
  <c r="AC18" i="1"/>
  <c r="AE24" i="1"/>
  <c r="W24" i="1"/>
  <c r="S25" i="1"/>
  <c r="AC25" i="1" l="1"/>
  <c r="AD25" i="1" s="1"/>
  <c r="AB25" i="1"/>
  <c r="V25" i="1" s="1"/>
  <c r="AF24" i="1"/>
  <c r="Y24" i="1" s="1"/>
  <c r="X24" i="1"/>
  <c r="S16" i="1"/>
  <c r="S19" i="1"/>
  <c r="AB19" i="1" s="1"/>
  <c r="V19" i="1" s="1"/>
  <c r="S20" i="1"/>
  <c r="AB20" i="1" s="1"/>
  <c r="V20" i="1" s="1"/>
  <c r="S21" i="1"/>
  <c r="S22" i="1"/>
  <c r="AB22" i="1" s="1"/>
  <c r="V22" i="1" s="1"/>
  <c r="S9" i="1"/>
  <c r="S10" i="1"/>
  <c r="S11" i="1"/>
  <c r="S12" i="1"/>
  <c r="S13" i="1"/>
  <c r="S14" i="1"/>
  <c r="AB16" i="1" l="1"/>
  <c r="V16" i="1" s="1"/>
  <c r="AC16" i="1"/>
  <c r="AC10" i="1"/>
  <c r="AB10" i="1"/>
  <c r="V10" i="1" s="1"/>
  <c r="AC21" i="1"/>
  <c r="AB21" i="1"/>
  <c r="V21" i="1" s="1"/>
  <c r="AC9" i="1"/>
  <c r="AD9" i="1" s="1"/>
  <c r="AB9" i="1"/>
  <c r="V9" i="1" s="1"/>
  <c r="AE25" i="1"/>
  <c r="W25" i="1"/>
  <c r="AC14" i="1"/>
  <c r="AB14" i="1"/>
  <c r="V14" i="1" s="1"/>
  <c r="AC13" i="1"/>
  <c r="AB13" i="1"/>
  <c r="V13" i="1" s="1"/>
  <c r="AC12" i="1"/>
  <c r="AB12" i="1"/>
  <c r="V12" i="1" s="1"/>
  <c r="AB11" i="1"/>
  <c r="V11" i="1" s="1"/>
  <c r="AC11" i="1"/>
  <c r="D27" i="1"/>
  <c r="S15" i="1"/>
  <c r="AB15" i="1" s="1"/>
  <c r="V15" i="1" s="1"/>
  <c r="AG8" i="1"/>
  <c r="Z8" i="1" s="1"/>
  <c r="AF8" i="1"/>
  <c r="AE8" i="1"/>
  <c r="AD8" i="1"/>
  <c r="W8" i="1" s="1"/>
  <c r="AC8" i="1"/>
  <c r="Y8" i="1"/>
  <c r="X8" i="1"/>
  <c r="U8" i="1"/>
  <c r="S8" i="1"/>
  <c r="AB8" i="1" s="1"/>
  <c r="V8" i="1" s="1"/>
  <c r="AE9" i="1" l="1"/>
  <c r="W9" i="1"/>
  <c r="X25" i="1"/>
  <c r="AF25" i="1"/>
  <c r="V27" i="1"/>
  <c r="V29" i="1" s="1"/>
  <c r="W27" i="1"/>
  <c r="W29" i="1" s="1"/>
  <c r="U27" i="1"/>
  <c r="U29" i="1" s="1"/>
  <c r="S27" i="1"/>
  <c r="X9" i="1" l="1"/>
  <c r="X27" i="1" s="1"/>
  <c r="X29" i="1" s="1"/>
  <c r="AF9" i="1"/>
  <c r="Y9" i="1" s="1"/>
  <c r="AG25" i="1"/>
  <c r="Z25" i="1" s="1"/>
  <c r="Z27" i="1" s="1"/>
  <c r="Z29" i="1" s="1"/>
  <c r="Y25" i="1"/>
  <c r="Y27" i="1" l="1"/>
  <c r="Y29" i="1" s="1"/>
  <c r="Z30" i="1" s="1"/>
  <c r="Z33" i="1" s="1"/>
  <c r="Z31" i="1" l="1"/>
</calcChain>
</file>

<file path=xl/comments1.xml><?xml version="1.0" encoding="utf-8"?>
<comments xmlns="http://schemas.openxmlformats.org/spreadsheetml/2006/main">
  <authors>
    <author>Maria DiFuccia</author>
    <author>MandC</author>
    <author>Andrea Beesley</author>
  </authors>
  <commentList>
    <comment ref="I9" authorId="0" shapeId="0">
      <text>
        <r>
          <rPr>
            <b/>
            <sz val="9"/>
            <color indexed="81"/>
            <rFont val="Tahoma"/>
            <family val="2"/>
          </rPr>
          <t>Maria DiFuccia:</t>
        </r>
        <r>
          <rPr>
            <sz val="9"/>
            <color indexed="81"/>
            <rFont val="Tahoma"/>
            <family val="2"/>
          </rPr>
          <t xml:space="preserve">
Grant period is 3.5 years (3 years + 6 months NCE)</t>
        </r>
      </text>
    </comment>
    <comment ref="M9" authorId="0" shapeId="0">
      <text>
        <r>
          <rPr>
            <b/>
            <sz val="9"/>
            <color indexed="81"/>
            <rFont val="Tahoma"/>
            <family val="2"/>
          </rPr>
          <t>Maria DiFuccia:</t>
        </r>
        <r>
          <rPr>
            <sz val="9"/>
            <color indexed="81"/>
            <rFont val="Tahoma"/>
            <family val="2"/>
          </rPr>
          <t xml:space="preserve">
This is the average annual amount of student salaries during the grant period</t>
        </r>
      </text>
    </comment>
    <comment ref="O9" authorId="0" shapeId="0">
      <text>
        <r>
          <rPr>
            <sz val="9"/>
            <color indexed="81"/>
            <rFont val="Tahoma"/>
            <family val="2"/>
          </rPr>
          <t>Students may have had different part-time jobs</t>
        </r>
      </text>
    </comment>
    <comment ref="P9" authorId="0" shapeId="0">
      <text>
        <r>
          <rPr>
            <b/>
            <sz val="9"/>
            <color indexed="81"/>
            <rFont val="Tahoma"/>
            <family val="2"/>
          </rPr>
          <t>Maria DiFuccia:</t>
        </r>
        <r>
          <rPr>
            <sz val="9"/>
            <color indexed="81"/>
            <rFont val="Tahoma"/>
            <family val="2"/>
          </rPr>
          <t xml:space="preserve">
Southwire manager reported that no adults were displaced by student workers</t>
        </r>
      </text>
    </comment>
    <comment ref="Q9" authorId="1" shapeId="0">
      <text>
        <r>
          <rPr>
            <b/>
            <sz val="9"/>
            <color indexed="81"/>
            <rFont val="Tahoma"/>
            <family val="2"/>
          </rPr>
          <t xml:space="preserve">Mdifuccia: </t>
        </r>
        <r>
          <rPr>
            <sz val="9"/>
            <color indexed="81"/>
            <rFont val="Tahoma"/>
            <family val="2"/>
          </rPr>
          <t>12 for Life would probably continue with approximately half the students without the additional RT3 funding.</t>
        </r>
        <r>
          <rPr>
            <b/>
            <sz val="9"/>
            <color indexed="81"/>
            <rFont val="Tahoma"/>
            <family val="2"/>
          </rPr>
          <t xml:space="preserve">  </t>
        </r>
        <r>
          <rPr>
            <sz val="9"/>
            <color indexed="81"/>
            <rFont val="Tahoma"/>
            <family val="2"/>
          </rPr>
          <t xml:space="preserve">
</t>
        </r>
      </text>
    </comment>
    <comment ref="I10" authorId="0" shapeId="0">
      <text>
        <r>
          <rPr>
            <b/>
            <sz val="9"/>
            <color indexed="81"/>
            <rFont val="Tahoma"/>
            <family val="2"/>
          </rPr>
          <t>Maria DiFuccia:</t>
        </r>
        <r>
          <rPr>
            <sz val="9"/>
            <color indexed="81"/>
            <rFont val="Tahoma"/>
            <family val="2"/>
          </rPr>
          <t xml:space="preserve">
The total number of students who graduated in 2012-2013 SY and 2013-2014 SY (2014-2015 SY not yet available)</t>
        </r>
      </text>
    </comment>
    <comment ref="M10" authorId="0" shapeId="0">
      <text>
        <r>
          <rPr>
            <sz val="9"/>
            <color indexed="81"/>
            <rFont val="Tahoma"/>
            <family val="2"/>
          </rPr>
          <t>This is the difference in median lifetime earnings between people with a high school diploma ($1,304,000) and less than high school ($973,000)</t>
        </r>
      </text>
    </comment>
    <comment ref="O10" authorId="0" shapeId="0">
      <text>
        <r>
          <rPr>
            <sz val="9"/>
            <color indexed="81"/>
            <rFont val="Tahoma"/>
            <family val="2"/>
          </rPr>
          <t>Graduation rate in Carroll County</t>
        </r>
      </text>
    </comment>
    <comment ref="Q10" authorId="2" shapeId="0">
      <text>
        <r>
          <rPr>
            <sz val="9"/>
            <color indexed="81"/>
            <rFont val="Tahoma"/>
            <family val="2"/>
          </rPr>
          <t>While the program was relatively long-lasting and intense, students also experience other influences on their educational decisions. This estimated attribution accounts for these influences over the years (approximately 25%), and for the approximate number of students who would have participated in the 12 for Life program without RT3 funding (approximately 50%)</t>
        </r>
      </text>
    </comment>
    <comment ref="I11" authorId="0" shapeId="0">
      <text>
        <r>
          <rPr>
            <sz val="9"/>
            <color indexed="81"/>
            <rFont val="Tahoma"/>
            <family val="2"/>
          </rPr>
          <t xml:space="preserve">Used combined ALSQ results from December 2012 and May 2014 to avoid duplicating any students
HIGH: assumes all students with aspirations to graduate from 2-year college do = </t>
        </r>
        <r>
          <rPr>
            <b/>
            <sz val="9"/>
            <color indexed="81"/>
            <rFont val="Tahoma"/>
            <family val="2"/>
          </rPr>
          <t>55</t>
        </r>
        <r>
          <rPr>
            <sz val="9"/>
            <color indexed="81"/>
            <rFont val="Tahoma"/>
            <family val="2"/>
          </rPr>
          <t xml:space="preserve">
LOW: ALSQ students (55) * percent of STEM 2-year college students who graduate (33%) =</t>
        </r>
        <r>
          <rPr>
            <b/>
            <sz val="9"/>
            <color indexed="81"/>
            <rFont val="Tahoma"/>
            <family val="2"/>
          </rPr>
          <t xml:space="preserve"> 18</t>
        </r>
      </text>
    </comment>
    <comment ref="M11" authorId="0" shapeId="0">
      <text>
        <r>
          <rPr>
            <sz val="9"/>
            <color indexed="81"/>
            <rFont val="Tahoma"/>
            <family val="2"/>
          </rPr>
          <t>This is the total lifetiime earnings of a 2-year college grad minus the total lifetime earnings of a high school grad, less the average stduent debt incurred for a two-year degree</t>
        </r>
      </text>
    </comment>
    <comment ref="O11" authorId="0" shapeId="0">
      <text>
        <r>
          <rPr>
            <b/>
            <sz val="9"/>
            <color indexed="81"/>
            <rFont val="Tahoma"/>
            <family val="2"/>
          </rPr>
          <t>Maria DiFuccia:</t>
        </r>
        <r>
          <rPr>
            <sz val="9"/>
            <color indexed="81"/>
            <rFont val="Tahoma"/>
            <family val="2"/>
          </rPr>
          <t xml:space="preserve">
This accounts for the students with aspirations before STEM for Life (49 students before / 55 students after)</t>
        </r>
      </text>
    </comment>
    <comment ref="I12" authorId="0" shapeId="0">
      <text>
        <r>
          <rPr>
            <sz val="9"/>
            <color indexed="81"/>
            <rFont val="Tahoma"/>
            <family val="2"/>
          </rPr>
          <t xml:space="preserve">HIGH: assumes all students with aspirations to graduate from 4-year college do = </t>
        </r>
        <r>
          <rPr>
            <b/>
            <sz val="9"/>
            <color indexed="81"/>
            <rFont val="Tahoma"/>
            <family val="2"/>
          </rPr>
          <t>52</t>
        </r>
        <r>
          <rPr>
            <sz val="9"/>
            <color indexed="81"/>
            <rFont val="Tahoma"/>
            <family val="2"/>
          </rPr>
          <t xml:space="preserve">
LOW: 52 * .59 (percentage of entering students who graduate from a four-year college) = </t>
        </r>
        <r>
          <rPr>
            <b/>
            <sz val="9"/>
            <color indexed="81"/>
            <rFont val="Tahoma"/>
            <family val="2"/>
          </rPr>
          <t>31</t>
        </r>
        <r>
          <rPr>
            <sz val="9"/>
            <color indexed="81"/>
            <rFont val="Tahoma"/>
            <family val="2"/>
          </rPr>
          <t xml:space="preserve">
</t>
        </r>
      </text>
    </comment>
    <comment ref="M12" authorId="0" shapeId="0">
      <text>
        <r>
          <rPr>
            <sz val="9"/>
            <color indexed="81"/>
            <rFont val="Tahoma"/>
            <family val="2"/>
          </rPr>
          <t>This is the total lifetiime earnings of a 4-year college grad minus the total lifetime earnings of a technical schooll grad minus the average stduent debt incurred for a four-year degree</t>
        </r>
      </text>
    </comment>
    <comment ref="O12" authorId="0" shapeId="0">
      <text>
        <r>
          <rPr>
            <b/>
            <sz val="9"/>
            <color indexed="81"/>
            <rFont val="Tahoma"/>
            <family val="2"/>
          </rPr>
          <t>Maria DiFuccia:</t>
        </r>
        <r>
          <rPr>
            <sz val="9"/>
            <color indexed="81"/>
            <rFont val="Tahoma"/>
            <family val="2"/>
          </rPr>
          <t xml:space="preserve">
This accounts for the students with aspirations before STEM for Life (35 students before / 52 students after)</t>
        </r>
      </text>
    </comment>
    <comment ref="I13" authorId="0" shapeId="0">
      <text>
        <r>
          <rPr>
            <sz val="9"/>
            <color indexed="81"/>
            <rFont val="Tahoma"/>
            <family val="2"/>
          </rPr>
          <t xml:space="preserve">High: # students with changed aspirations on ALSQ = </t>
        </r>
        <r>
          <rPr>
            <b/>
            <sz val="9"/>
            <color indexed="81"/>
            <rFont val="Tahoma"/>
            <family val="2"/>
          </rPr>
          <t>21</t>
        </r>
        <r>
          <rPr>
            <sz val="9"/>
            <color indexed="81"/>
            <rFont val="Tahoma"/>
            <family val="2"/>
          </rPr>
          <t xml:space="preserve">
Low: # students (21) *.52 (STEM graduation rate) *.66 (STEM graduate school completion rate) = </t>
        </r>
        <r>
          <rPr>
            <b/>
            <sz val="9"/>
            <color indexed="81"/>
            <rFont val="Tahoma"/>
            <family val="2"/>
          </rPr>
          <t>7</t>
        </r>
      </text>
    </comment>
    <comment ref="M13" authorId="0" shapeId="0">
      <text>
        <r>
          <rPr>
            <sz val="9"/>
            <color indexed="81"/>
            <rFont val="Tahoma"/>
            <family val="2"/>
          </rPr>
          <t>Total lifetiime earnings of a master's degree grad minus the total lifetime earnings of a 4-year college grad minus the average student debt incurred for a master's degree</t>
        </r>
      </text>
    </comment>
    <comment ref="O13" authorId="0" shapeId="0">
      <text>
        <r>
          <rPr>
            <b/>
            <sz val="9"/>
            <color indexed="81"/>
            <rFont val="Tahoma"/>
            <family val="2"/>
          </rPr>
          <t>Maria DiFuccia:</t>
        </r>
        <r>
          <rPr>
            <sz val="9"/>
            <color indexed="81"/>
            <rFont val="Tahoma"/>
            <family val="2"/>
          </rPr>
          <t xml:space="preserve">
This accounts for the students with aspirations before STEM for Life (8 students before / 21 students after)</t>
        </r>
      </text>
    </comment>
    <comment ref="I14" authorId="0" shapeId="0">
      <text>
        <r>
          <rPr>
            <sz val="9"/>
            <color indexed="81"/>
            <rFont val="Tahoma"/>
            <family val="2"/>
          </rPr>
          <t xml:space="preserve">High: ALSQ aspirations = </t>
        </r>
        <r>
          <rPr>
            <b/>
            <sz val="9"/>
            <color indexed="81"/>
            <rFont val="Tahoma"/>
            <family val="2"/>
          </rPr>
          <t>16</t>
        </r>
        <r>
          <rPr>
            <sz val="9"/>
            <color indexed="81"/>
            <rFont val="Tahoma"/>
            <family val="2"/>
          </rPr>
          <t xml:space="preserve">
Low rate: ALSQ *.52 (STEM graduation rate) *.42 (med school acceptance rate) *.81 (med school completion rate =</t>
        </r>
        <r>
          <rPr>
            <b/>
            <sz val="9"/>
            <color indexed="81"/>
            <rFont val="Tahoma"/>
            <family val="2"/>
          </rPr>
          <t xml:space="preserve"> 3</t>
        </r>
      </text>
    </comment>
    <comment ref="M14" authorId="0" shapeId="0">
      <text>
        <r>
          <rPr>
            <sz val="9"/>
            <color indexed="81"/>
            <rFont val="Tahoma"/>
            <family val="2"/>
          </rPr>
          <t>Total lifetiime earnings of a professional school grad minus the total lifetime earnings of a 4-year college grad minus the average student debt incurred for a professional degree</t>
        </r>
      </text>
    </comment>
    <comment ref="O14" authorId="0" shapeId="0">
      <text>
        <r>
          <rPr>
            <b/>
            <sz val="9"/>
            <color indexed="81"/>
            <rFont val="Tahoma"/>
            <family val="2"/>
          </rPr>
          <t>Maria DiFuccia:</t>
        </r>
        <r>
          <rPr>
            <sz val="9"/>
            <color indexed="81"/>
            <rFont val="Tahoma"/>
            <family val="2"/>
          </rPr>
          <t xml:space="preserve">
This accounts for the students with aspirations before STEM for Life (10 students before / 14 students after)</t>
        </r>
      </text>
    </comment>
    <comment ref="I16" authorId="0" shapeId="0">
      <text>
        <r>
          <rPr>
            <b/>
            <sz val="9"/>
            <color indexed="81"/>
            <rFont val="Tahoma"/>
            <family val="2"/>
          </rPr>
          <t>Maria DiFuccia:</t>
        </r>
        <r>
          <rPr>
            <sz val="9"/>
            <color indexed="81"/>
            <rFont val="Tahoma"/>
            <family val="2"/>
          </rPr>
          <t xml:space="preserve">
Grant period is 3.5 years (3 years + 6 months NCE)</t>
        </r>
      </text>
    </comment>
    <comment ref="M16" authorId="0" shapeId="0">
      <text>
        <r>
          <rPr>
            <b/>
            <sz val="9"/>
            <color indexed="81"/>
            <rFont val="Tahoma"/>
            <family val="2"/>
          </rPr>
          <t>Maria DiFuccia:</t>
        </r>
        <r>
          <rPr>
            <sz val="9"/>
            <color indexed="81"/>
            <rFont val="Tahoma"/>
            <family val="2"/>
          </rPr>
          <t xml:space="preserve">
This is the average annual profit for the student Southwire facility during the grant period of performance (note - the profit has been steadily increasing each year -- in 2012 it was $1,627,104 and in 2014 it was $2,280,540 -- on track so far to make more than this in 2015</t>
        </r>
      </text>
    </comment>
    <comment ref="O16" authorId="0" shapeId="0">
      <text>
        <r>
          <rPr>
            <b/>
            <sz val="9"/>
            <color indexed="81"/>
            <rFont val="Tahoma"/>
            <family val="2"/>
          </rPr>
          <t>Maria DiFuccia:</t>
        </r>
        <r>
          <rPr>
            <sz val="9"/>
            <color indexed="81"/>
            <rFont val="Tahoma"/>
            <family val="2"/>
          </rPr>
          <t xml:space="preserve">
There were 101 students working for Southwire before the program started, this rose to 257.</t>
        </r>
      </text>
    </comment>
    <comment ref="M17" authorId="0" shapeId="0">
      <text>
        <r>
          <rPr>
            <b/>
            <sz val="9"/>
            <color indexed="81"/>
            <rFont val="Tahoma"/>
            <family val="2"/>
          </rPr>
          <t>Maria DiFuccia:</t>
        </r>
        <r>
          <rPr>
            <sz val="9"/>
            <color indexed="81"/>
            <rFont val="Tahoma"/>
            <family val="2"/>
          </rPr>
          <t xml:space="preserve">
For similar work, adults are paid twice as much as students ($18/hour vs $9/hour), so value to Southwire equals student earnings (student salaries*2=adult salaries, minus student salaries = value)</t>
        </r>
      </text>
    </comment>
    <comment ref="P17" authorId="0" shapeId="0">
      <text>
        <r>
          <rPr>
            <b/>
            <sz val="9"/>
            <color indexed="81"/>
            <rFont val="Tahoma"/>
            <family val="2"/>
          </rPr>
          <t>Maria DiFuccia:</t>
        </r>
        <r>
          <rPr>
            <sz val="9"/>
            <color indexed="81"/>
            <rFont val="Tahoma"/>
            <family val="2"/>
          </rPr>
          <t xml:space="preserve">
in this scenario, adults would be in entry-level positions instead of more profitable work</t>
        </r>
      </text>
    </comment>
    <comment ref="Q17" authorId="0" shapeId="0">
      <text>
        <r>
          <rPr>
            <b/>
            <sz val="9"/>
            <color indexed="81"/>
            <rFont val="Tahoma"/>
            <family val="2"/>
          </rPr>
          <t>Maria DiFuccia:</t>
        </r>
        <r>
          <rPr>
            <sz val="9"/>
            <color indexed="81"/>
            <rFont val="Tahoma"/>
            <family val="2"/>
          </rPr>
          <t xml:space="preserve">
According to Southwire manager, student production grew in a way that probably would not have occurred if adults were working instead (wouldn't be as profitable for the company)</t>
        </r>
      </text>
    </comment>
    <comment ref="R18" authorId="0" shapeId="0">
      <text>
        <r>
          <rPr>
            <b/>
            <sz val="9"/>
            <color indexed="81"/>
            <rFont val="Tahoma"/>
            <family val="2"/>
          </rPr>
          <t>Maria DiFuccia:</t>
        </r>
        <r>
          <rPr>
            <sz val="9"/>
            <color indexed="81"/>
            <rFont val="Tahoma"/>
            <family val="2"/>
          </rPr>
          <t xml:space="preserve">
According to Southwire manager, students who initially stay to work sometimes leave after a year or two to continue education elsewhere</t>
        </r>
      </text>
    </comment>
    <comment ref="D20" authorId="0" shapeId="0">
      <text>
        <r>
          <rPr>
            <b/>
            <sz val="9"/>
            <color indexed="81"/>
            <rFont val="Tahoma"/>
            <family val="2"/>
          </rPr>
          <t>Maria DiFuccia:</t>
        </r>
        <r>
          <rPr>
            <sz val="9"/>
            <color indexed="81"/>
            <rFont val="Tahoma"/>
            <family val="2"/>
          </rPr>
          <t xml:space="preserve">
hope to get financial information from Doug Wright</t>
        </r>
      </text>
    </comment>
    <comment ref="J21" authorId="0" shapeId="0">
      <text>
        <r>
          <rPr>
            <b/>
            <sz val="9"/>
            <color indexed="81"/>
            <rFont val="Tahoma"/>
            <family val="2"/>
          </rPr>
          <t>Maria DiFuccia:</t>
        </r>
        <r>
          <rPr>
            <sz val="9"/>
            <color indexed="81"/>
            <rFont val="Tahoma"/>
            <family val="2"/>
          </rPr>
          <t xml:space="preserve">
4 year grant, but total amount is listed once to avoid duplication</t>
        </r>
      </text>
    </comment>
    <comment ref="O21" authorId="0" shapeId="0">
      <text>
        <r>
          <rPr>
            <b/>
            <sz val="9"/>
            <color indexed="81"/>
            <rFont val="Tahoma"/>
            <family val="2"/>
          </rPr>
          <t>Maria DiFuccia:</t>
        </r>
        <r>
          <rPr>
            <sz val="9"/>
            <color indexed="81"/>
            <rFont val="Tahoma"/>
            <family val="2"/>
          </rPr>
          <t xml:space="preserve">
While there is a chance that the i3 grant may have been awarded regardless, a strength of the application (as noted by the reviewers) was the growth and success of 12 for Life during the RT3 period.</t>
        </r>
      </text>
    </comment>
    <comment ref="I24" authorId="0" shapeId="0">
      <text>
        <r>
          <rPr>
            <sz val="9"/>
            <color indexed="81"/>
            <rFont val="Tahoma"/>
            <family val="2"/>
          </rPr>
          <t>LOW END (23): calculated by known number of students who graduated (194) * 32.5% (county dropout rate) * 36.6% (percent of dropouts who receive TANF)
HIGH END (67): estimated number of students participating in program during performance period (648) * 32.5% (country dropout rate) * 36.6% (percent of dropouts who receive TANF) MINUS estimated number of students participating in program during performance period (648) * 4.2% (STEM for Life dropout rate) * 36.6% (percent of dropouts who receive TANF)</t>
        </r>
      </text>
    </comment>
    <comment ref="I25" authorId="0" shapeId="0">
      <text>
        <r>
          <rPr>
            <sz val="9"/>
            <color indexed="81"/>
            <rFont val="Tahoma"/>
            <family val="2"/>
          </rPr>
          <t>LOW END (4): calculated by known number of students who graduated (194) * 32.5% (county dropout rate) * 6.3% (percent of dropouts who are incarcerated)
HIGH END (11): estimated number of students participating in program during performance period (648) * 32.5% (county dropout rate) * 6.3% (percent of dropouts who are incarcerated) MINUS estimated number of students participating in program during performance period (648) * 4.2% (STEM for Life dropout rate) * 6.3% (percent of dropouts who are incarcerated)</t>
        </r>
      </text>
    </comment>
    <comment ref="J25" authorId="0" shapeId="0">
      <text>
        <r>
          <rPr>
            <sz val="9"/>
            <color indexed="81"/>
            <rFont val="Tahoma"/>
            <family val="2"/>
          </rPr>
          <t xml:space="preserve"> Georgia average time served in prison for all crimes (http://www.pewtrusts.org/~/media/legacy/uploadedfiles/wwwpewtrustsorg/reports/sentencing_and_corrections/PrisonTimeServedpdf.pdf)</t>
        </r>
      </text>
    </comment>
  </commentList>
</comments>
</file>

<file path=xl/sharedStrings.xml><?xml version="1.0" encoding="utf-8"?>
<sst xmlns="http://schemas.openxmlformats.org/spreadsheetml/2006/main" count="158" uniqueCount="133">
  <si>
    <t>Inputs</t>
  </si>
  <si>
    <t>Impact</t>
  </si>
  <si>
    <t>Description</t>
  </si>
  <si>
    <t>Indicator</t>
  </si>
  <si>
    <t>Source</t>
  </si>
  <si>
    <t>Duration</t>
  </si>
  <si>
    <t>Quantity</t>
  </si>
  <si>
    <t xml:space="preserve">    Calculating Social Return</t>
  </si>
  <si>
    <t>Total</t>
  </si>
  <si>
    <t>Present value of each year</t>
  </si>
  <si>
    <t>Total Present Value (PV)</t>
  </si>
  <si>
    <t>Year 1</t>
  </si>
  <si>
    <t>Year 2</t>
  </si>
  <si>
    <t>Year 3</t>
  </si>
  <si>
    <t>Year 4</t>
  </si>
  <si>
    <t>Year 5</t>
  </si>
  <si>
    <t>Stakeholders</t>
  </si>
  <si>
    <t>Attribution      %</t>
  </si>
  <si>
    <t>Displacement      %</t>
  </si>
  <si>
    <t>Deadweight      %</t>
  </si>
  <si>
    <t>Drop off         %</t>
  </si>
  <si>
    <t>Who else contributed to  the change?</t>
  </si>
  <si>
    <t>What activity did you displace?</t>
  </si>
  <si>
    <t>Does the outcome drop off in future years?</t>
  </si>
  <si>
    <t>Social Return on Investment - The Impact Map</t>
  </si>
  <si>
    <t>Stage 1</t>
  </si>
  <si>
    <t>Stage 2</t>
  </si>
  <si>
    <t>Stage 3</t>
  </si>
  <si>
    <t>Stage 4</t>
  </si>
  <si>
    <t>Financial Proxy</t>
  </si>
  <si>
    <t>The Outcomes (what changes)</t>
  </si>
  <si>
    <t xml:space="preserve">  Discount rate</t>
  </si>
  <si>
    <t>What do you think will change for them?</t>
  </si>
  <si>
    <t>What do they invest?</t>
  </si>
  <si>
    <t>Where did you get the information from?</t>
  </si>
  <si>
    <t>How much change was there?</t>
  </si>
  <si>
    <t>What proxy would you use to value the change?</t>
  </si>
  <si>
    <t>What would have happened without the activity?</t>
  </si>
  <si>
    <t>Quantity times financial proxy, less deadweight,displacement and attribution</t>
  </si>
  <si>
    <t xml:space="preserve">Net Present Value </t>
  </si>
  <si>
    <t>(PV minus the investment)</t>
  </si>
  <si>
    <t xml:space="preserve">Social Return </t>
  </si>
  <si>
    <r>
      <t>What is the value of the change? (</t>
    </r>
    <r>
      <rPr>
        <i/>
        <sz val="10"/>
        <rFont val="Arial"/>
        <family val="2"/>
      </rPr>
      <t>Only enter numbers)</t>
    </r>
  </si>
  <si>
    <t>Value in currency</t>
  </si>
  <si>
    <t>Year 0</t>
  </si>
  <si>
    <t>Does it start in period of activity (1) or in period after (2)</t>
  </si>
  <si>
    <r>
      <t>How long does it last after end of activity? (</t>
    </r>
    <r>
      <rPr>
        <i/>
        <sz val="10"/>
        <rFont val="Arial"/>
        <family val="2"/>
      </rPr>
      <t>Only enter numbers)</t>
    </r>
  </si>
  <si>
    <t>Outcomes start</t>
  </si>
  <si>
    <t>Value per amount invested</t>
  </si>
  <si>
    <t xml:space="preserve">                                                                                                                                                                                                                                                                                                                                                                                                                                                                                                                                                                                                                                                                                                                                                                                                                                                                                                                                                                                                                                                                                         </t>
  </si>
  <si>
    <t>Grant funding</t>
  </si>
  <si>
    <t>Outputs/Activities</t>
  </si>
  <si>
    <t>Summary of activity including numbers</t>
  </si>
  <si>
    <t xml:space="preserve">Who do we have an effect on?                          </t>
  </si>
  <si>
    <t xml:space="preserve">What is the value of the inputs in currency </t>
  </si>
  <si>
    <t>How did the stakeholder describe the changes?</t>
  </si>
  <si>
    <t>time</t>
  </si>
  <si>
    <t>Interviews</t>
  </si>
  <si>
    <t>Work/academic/social support -- training, supervising, tutoring, mentoring</t>
  </si>
  <si>
    <t>Students (2)</t>
  </si>
  <si>
    <t>Southwire (operations manager, student supervisor)</t>
  </si>
  <si>
    <t>How would you measure it?</t>
  </si>
  <si>
    <t>State</t>
  </si>
  <si>
    <t>Interview</t>
  </si>
  <si>
    <t>Instructors (2)</t>
  </si>
  <si>
    <t>Community/region</t>
  </si>
  <si>
    <t>in-kind funding</t>
  </si>
  <si>
    <t>Higher retention/graduation rates, increased attendance, increased achievement, credit recovery, enhanced self-management skills, increased post-secondary opportunities, increased exposure to STEM for underrepresented groups</t>
  </si>
  <si>
    <t>Paid employment at Southwire (minimum 20 hours/week, option for overtime), summer school (minimum 1 class per term), tutoring, mentoring, career/academic counseling, field trips, STEM classes, life skills class, peer mentoring, community service</t>
  </si>
  <si>
    <t>Interviews, evaluation reports, student surveys, EOCT test scores, ALSQ results, additional communication with program leaders</t>
  </si>
  <si>
    <t>Higher graduation rates, resulting in a larger qualified local workforce pool</t>
  </si>
  <si>
    <t>Intended changes</t>
  </si>
  <si>
    <t>Student-only Southwire facility (including construction of a quality assurance lab and raw materials warehouse), 6 supervisors, plant manager, equipment, student salaries, summer school funding, mentors, tutors, bus transportation, extra-curricular activities, snacks, graduation gifts</t>
  </si>
  <si>
    <t>Increase student interest in STEM and STEM careers</t>
  </si>
  <si>
    <t>Best practices shared with the potential to transform manufacturing</t>
  </si>
  <si>
    <t>Interviews, additional Southwire documentation and communication</t>
  </si>
  <si>
    <t>Opportunity to teach in a non-traditional environment</t>
  </si>
  <si>
    <t xml:space="preserve">Teachers' perception of job satisfaction </t>
  </si>
  <si>
    <t>School/district (program director, instructors, external evaluator)</t>
  </si>
  <si>
    <t>Higher graduation rates</t>
  </si>
  <si>
    <t>Time, FTE funding for project director, 2 half-time teachers, salaries for 7 graduation coaches (estimated contribution each at .15 FTE), partial salaries for tutors and summer program teachers, literacy instructor</t>
  </si>
  <si>
    <t>Field trips, financial planning support, media outreach, teen parent support, other academic enrichment</t>
  </si>
  <si>
    <t>Teaching high school core curriculum at Southwire plant instead of traditional school (greater flexibility), smaller classes (average 15, compared to 30)</t>
  </si>
  <si>
    <t>Number of core classes and rotation classes
Evaluate students to determine selection into program</t>
  </si>
  <si>
    <t>School/district outcomes - (graduation/retention/ achievement
Number of "at-risk" kids taking classes at Southwire facility</t>
  </si>
  <si>
    <t>Funding from i3 grant</t>
  </si>
  <si>
    <t>Number of students intending to graduate from 2-year college</t>
  </si>
  <si>
    <t>Nmber of students intending to graduate from 4-year college</t>
  </si>
  <si>
    <t>Number of students intending to graduate from graduate school</t>
  </si>
  <si>
    <t>Number of students intending to graduate from professional school</t>
  </si>
  <si>
    <t>ALSQ</t>
  </si>
  <si>
    <t>Lifetime earnings of 4-year college grads</t>
  </si>
  <si>
    <t>Lifetime earnings of graduate school grads</t>
  </si>
  <si>
    <t>Lifetime earnings of professional school grads</t>
  </si>
  <si>
    <t>Carnevale et al. (2011)</t>
  </si>
  <si>
    <t>Interviews, US Department of Education website</t>
  </si>
  <si>
    <t>http://www2.ed.gov/programs/innovation/2013highestrated.html</t>
  </si>
  <si>
    <t>Interviews and personal communication with Southwire manager</t>
  </si>
  <si>
    <t>Interviews and additional correspondance with Southwire employees</t>
  </si>
  <si>
    <t>i3 award</t>
  </si>
  <si>
    <t>Student salaries</t>
  </si>
  <si>
    <t>Increase in graduation rates, attendance, grades, and passing math and science EOCT
Student/teacher/supervisor perceptions of increased confidence and aspiration
Higher education attendance and career choice (as expressed by students)</t>
  </si>
  <si>
    <t>Amount of money students earn from working at Southwire</t>
  </si>
  <si>
    <t>Southwire profit from student facility</t>
  </si>
  <si>
    <t>Size of student workforce, number and types of student job certifications</t>
  </si>
  <si>
    <t>Graduation rate</t>
  </si>
  <si>
    <t>Average annual TANF assistance per family</t>
  </si>
  <si>
    <t>Number of students graduating HS</t>
  </si>
  <si>
    <t>End of Year Report 2012-2013 and 2013-2014</t>
  </si>
  <si>
    <t>Graduation rate from EOY report</t>
  </si>
  <si>
    <t>Change in lifetime earnings of HS grads</t>
  </si>
  <si>
    <t>Change in lifetime earnings of 2-year college grads</t>
  </si>
  <si>
    <t>Difference between adult and student salaries</t>
  </si>
  <si>
    <t>BLS, 2013</t>
  </si>
  <si>
    <t>Southwire profit (student earnings factored out) from student production</t>
  </si>
  <si>
    <t>Money saved by hiring strong student workers as full-time employees</t>
  </si>
  <si>
    <t>Cost of one week of HR and two weeks of supervisor time for recruting and training 120 employees (approximate number of students hired)</t>
  </si>
  <si>
    <t>Money saved by student labor</t>
  </si>
  <si>
    <t>Expected/non-monetized: improved confidence, improved self-management skills, improved attendance, improved grades, improved workforce skills, higher retention/ graduation, increased number of students choosing STEM careers/enrolling in STEM post-secondary education</t>
  </si>
  <si>
    <t>Expected/monetized: immediate earned income</t>
  </si>
  <si>
    <t>Unexpected/monetized: higher aspirations for post-secondary education</t>
  </si>
  <si>
    <t>Expected/nonmonetized: civic engagement, feeling good about giving back to the local community, not having to outsource jobs overseas, greater job satisfaction in adult employees, allowing for more students to participate and greater diversity in student jobs</t>
  </si>
  <si>
    <t>Unexpected/monetized: higher than expected profit</t>
  </si>
  <si>
    <t>Expected/monetized: cheaper labor force (students do work that adults don't want to do at a lower pay)</t>
  </si>
  <si>
    <t>Expected/monetized: larger applicant pool with skilled workers, retention of strong student workers</t>
  </si>
  <si>
    <t>Expected/non-monetized: opportunity to work in a flexible work environment
Unexpected/non-monetized: opportunity to get to know students better, work one-on-one</t>
  </si>
  <si>
    <t xml:space="preserve">
Unexpected/nonmonetized: smaller class sizes, removal of "problem" kids, increase in district graduation</t>
  </si>
  <si>
    <t xml:space="preserve">Expected/monetized: increased recognition for future grant/funding opportunities </t>
  </si>
  <si>
    <t>Expected/non-monetized: retention of skilled local workforce</t>
  </si>
  <si>
    <t>Expected/monetized: social and economic savings from lower dropout rate</t>
  </si>
  <si>
    <t>SSA (2005) http://www.ssa.gov/policy/docs/statcomps/supplement/2005/9g.html and http://www.acf.hhs.gov/programs/ofa/resource/character/fy2010/fy2010-chap10-ys-final</t>
  </si>
  <si>
    <t>Average annual cost of incarceration per inmate</t>
  </si>
  <si>
    <t>Pew Charitable Trusts http://www.pewtrusts.org/en/research-and-analysis/fact-sheets/2012/06/06/time-served-in-georgia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</si>
</sst>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
    <numFmt numFmtId="165" formatCode="0.0"/>
    <numFmt numFmtId="166" formatCode="&quot;£&quot;#,##0.00"/>
    <numFmt numFmtId="167" formatCode="_(&quot;$&quot;* #,##0_);_(&quot;$&quot;* \(#,##0\);_(&quot;$&quot;* &quot;-&quot;??_);_(@_)"/>
    <numFmt numFmtId="168" formatCode="_([$$-409]* #,##0.00_);_([$$-409]* \(#,##0.00\);_([$$-409]* &quot;-&quot;??_);_(@_)"/>
  </numFmts>
  <fonts count="18" x14ac:knownFonts="1">
    <font>
      <sz val="10"/>
      <name val="Arial"/>
    </font>
    <font>
      <sz val="10"/>
      <name val="Arial"/>
      <family val="2"/>
    </font>
    <font>
      <b/>
      <sz val="10"/>
      <name val="Arial"/>
      <family val="2"/>
    </font>
    <font>
      <b/>
      <sz val="12"/>
      <name val="Arial"/>
      <family val="2"/>
    </font>
    <font>
      <sz val="14"/>
      <name val="Arial"/>
      <family val="2"/>
    </font>
    <font>
      <sz val="12"/>
      <name val="Arial"/>
      <family val="2"/>
    </font>
    <font>
      <sz val="10"/>
      <color theme="0"/>
      <name val="Arial"/>
      <family val="2"/>
    </font>
    <font>
      <sz val="14"/>
      <color theme="0"/>
      <name val="Arial"/>
      <family val="2"/>
    </font>
    <font>
      <sz val="14"/>
      <color rgb="FFFF0000"/>
      <name val="Calibri"/>
      <family val="2"/>
      <scheme val="minor"/>
    </font>
    <font>
      <b/>
      <sz val="12"/>
      <color theme="0"/>
      <name val="Arial"/>
      <family val="2"/>
    </font>
    <font>
      <b/>
      <sz val="12"/>
      <name val="Calibri"/>
      <family val="2"/>
      <scheme val="minor"/>
    </font>
    <font>
      <b/>
      <sz val="14"/>
      <color theme="0"/>
      <name val="Arial"/>
      <family val="2"/>
    </font>
    <font>
      <i/>
      <sz val="10"/>
      <name val="Arial"/>
      <family val="2"/>
    </font>
    <font>
      <sz val="10"/>
      <name val="Calibri"/>
      <family val="2"/>
    </font>
    <font>
      <sz val="10"/>
      <name val="Arial"/>
      <family val="2"/>
    </font>
    <font>
      <sz val="9"/>
      <color indexed="81"/>
      <name val="Tahoma"/>
      <family val="2"/>
    </font>
    <font>
      <b/>
      <sz val="9"/>
      <color indexed="81"/>
      <name val="Tahoma"/>
      <family val="2"/>
    </font>
    <font>
      <sz val="1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6CCBE"/>
        <bgColor indexed="64"/>
      </patternFill>
    </fill>
    <fill>
      <patternFill patternType="solid">
        <fgColor rgb="FFFED230"/>
        <bgColor indexed="64"/>
      </patternFill>
    </fill>
    <fill>
      <patternFill patternType="solid">
        <fgColor rgb="FFF2007F"/>
        <bgColor indexed="64"/>
      </patternFill>
    </fill>
    <fill>
      <patternFill patternType="solid">
        <fgColor rgb="FFFFFF00"/>
        <bgColor indexed="64"/>
      </patternFill>
    </fill>
    <fill>
      <patternFill patternType="solid">
        <fgColor rgb="FFE1E2D4"/>
        <bgColor indexed="64"/>
      </patternFill>
    </fill>
    <fill>
      <patternFill patternType="solid">
        <fgColor theme="2" tint="-9.9978637043366805E-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medium">
        <color rgb="FF06CCBE"/>
      </left>
      <right style="medium">
        <color rgb="FF06CCBE"/>
      </right>
      <top style="medium">
        <color rgb="FF06CCBE"/>
      </top>
      <bottom style="medium">
        <color rgb="FF06CCBE"/>
      </bottom>
      <diagonal/>
    </border>
    <border>
      <left style="thin">
        <color indexed="64"/>
      </left>
      <right style="medium">
        <color rgb="FF06CCBE"/>
      </right>
      <top style="thin">
        <color indexed="64"/>
      </top>
      <bottom/>
      <diagonal/>
    </border>
    <border>
      <left style="medium">
        <color rgb="FF06CCBE"/>
      </left>
      <right style="thin">
        <color indexed="64"/>
      </right>
      <top style="thin">
        <color indexed="64"/>
      </top>
      <bottom/>
      <diagonal/>
    </border>
    <border>
      <left style="thin">
        <color indexed="64"/>
      </left>
      <right style="medium">
        <color rgb="FF06CCBE"/>
      </right>
      <top/>
      <bottom style="thin">
        <color indexed="64"/>
      </bottom>
      <diagonal/>
    </border>
    <border>
      <left style="medium">
        <color rgb="FF06CCBE"/>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theme="0"/>
      </top>
      <bottom/>
      <diagonal/>
    </border>
    <border>
      <left/>
      <right/>
      <top/>
      <bottom style="thin">
        <color theme="0"/>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44" fontId="14" fillId="0" borderId="0" applyFont="0" applyFill="0" applyBorder="0" applyAlignment="0" applyProtection="0"/>
  </cellStyleXfs>
  <cellXfs count="153">
    <xf numFmtId="0" fontId="0" fillId="0" borderId="0" xfId="0"/>
    <xf numFmtId="165" fontId="1" fillId="2" borderId="0" xfId="0" applyNumberFormat="1" applyFont="1" applyFill="1" applyBorder="1" applyAlignment="1" applyProtection="1">
      <alignment wrapText="1"/>
    </xf>
    <xf numFmtId="165" fontId="1" fillId="0" borderId="0" xfId="0" applyNumberFormat="1" applyFont="1" applyBorder="1" applyAlignment="1" applyProtection="1">
      <alignment wrapText="1"/>
    </xf>
    <xf numFmtId="166" fontId="1" fillId="0" borderId="0" xfId="0" applyNumberFormat="1" applyFont="1" applyBorder="1" applyAlignment="1" applyProtection="1">
      <alignment wrapText="1"/>
    </xf>
    <xf numFmtId="4" fontId="1" fillId="0" borderId="6" xfId="0" applyNumberFormat="1" applyFont="1" applyBorder="1" applyAlignment="1" applyProtection="1">
      <alignment horizontal="right" vertical="center" wrapText="1"/>
    </xf>
    <xf numFmtId="165" fontId="2" fillId="2" borderId="18" xfId="0" applyNumberFormat="1" applyFont="1" applyFill="1" applyBorder="1" applyAlignment="1" applyProtection="1"/>
    <xf numFmtId="165" fontId="2" fillId="2" borderId="20" xfId="0" applyNumberFormat="1" applyFont="1" applyFill="1" applyBorder="1" applyAlignment="1" applyProtection="1"/>
    <xf numFmtId="4" fontId="1" fillId="0" borderId="3" xfId="0" applyNumberFormat="1" applyFont="1" applyBorder="1" applyAlignment="1" applyProtection="1">
      <alignment vertical="center" wrapText="1"/>
    </xf>
    <xf numFmtId="4" fontId="1" fillId="0" borderId="0" xfId="0" applyNumberFormat="1" applyFont="1" applyAlignment="1" applyProtection="1">
      <alignment wrapText="1"/>
    </xf>
    <xf numFmtId="4" fontId="1" fillId="0" borderId="1" xfId="0" applyNumberFormat="1" applyFont="1" applyBorder="1" applyAlignment="1" applyProtection="1">
      <alignment horizontal="right" vertical="center" wrapText="1"/>
    </xf>
    <xf numFmtId="4" fontId="1" fillId="0" borderId="0" xfId="0" applyNumberFormat="1" applyFont="1" applyBorder="1" applyAlignment="1" applyProtection="1">
      <alignment wrapText="1"/>
    </xf>
    <xf numFmtId="4" fontId="1" fillId="0" borderId="0" xfId="0" applyNumberFormat="1" applyFont="1" applyBorder="1" applyAlignment="1" applyProtection="1">
      <alignment horizontal="right" vertical="center" wrapText="1"/>
    </xf>
    <xf numFmtId="4" fontId="17" fillId="0" borderId="3" xfId="0" applyNumberFormat="1" applyFont="1" applyBorder="1" applyAlignment="1" applyProtection="1">
      <alignment vertical="center" wrapText="1"/>
    </xf>
    <xf numFmtId="3" fontId="17" fillId="0" borderId="3" xfId="0" applyNumberFormat="1" applyFont="1" applyBorder="1" applyAlignment="1" applyProtection="1">
      <alignment vertical="center" wrapText="1"/>
    </xf>
    <xf numFmtId="3" fontId="1" fillId="0" borderId="0" xfId="0" applyNumberFormat="1" applyFont="1" applyAlignment="1" applyProtection="1">
      <alignment wrapText="1"/>
    </xf>
    <xf numFmtId="3" fontId="1" fillId="0" borderId="3" xfId="0" applyNumberFormat="1" applyFont="1" applyBorder="1" applyAlignment="1" applyProtection="1">
      <alignment wrapText="1"/>
    </xf>
    <xf numFmtId="3" fontId="1" fillId="0" borderId="9" xfId="0" applyNumberFormat="1" applyFont="1" applyBorder="1" applyAlignment="1" applyProtection="1">
      <alignment wrapText="1"/>
    </xf>
    <xf numFmtId="3" fontId="1" fillId="0" borderId="2" xfId="0" applyNumberFormat="1" applyFont="1" applyBorder="1" applyAlignment="1" applyProtection="1">
      <alignment wrapText="1"/>
    </xf>
    <xf numFmtId="3" fontId="1" fillId="0" borderId="6" xfId="0" applyNumberFormat="1" applyFont="1" applyBorder="1" applyAlignment="1" applyProtection="1">
      <alignment horizontal="right" vertical="center" wrapText="1"/>
    </xf>
    <xf numFmtId="0" fontId="4" fillId="4" borderId="0" xfId="0" applyFont="1" applyFill="1" applyAlignment="1" applyProtection="1">
      <alignment wrapText="1"/>
    </xf>
    <xf numFmtId="166" fontId="4" fillId="4" borderId="0" xfId="0" applyNumberFormat="1" applyFont="1" applyFill="1" applyAlignment="1" applyProtection="1">
      <alignment wrapText="1"/>
    </xf>
    <xf numFmtId="0" fontId="4" fillId="0" borderId="11" xfId="0" applyFont="1" applyFill="1" applyBorder="1" applyAlignment="1" applyProtection="1">
      <alignment wrapText="1"/>
    </xf>
    <xf numFmtId="0" fontId="4" fillId="0" borderId="0" xfId="0" applyFont="1" applyFill="1" applyBorder="1" applyAlignment="1" applyProtection="1">
      <alignment wrapText="1"/>
    </xf>
    <xf numFmtId="0" fontId="4" fillId="3" borderId="0" xfId="0" applyFont="1" applyFill="1" applyAlignment="1" applyProtection="1">
      <alignment wrapText="1"/>
    </xf>
    <xf numFmtId="0" fontId="4" fillId="0" borderId="0" xfId="0" applyFont="1" applyFill="1" applyAlignment="1" applyProtection="1">
      <alignment wrapText="1"/>
    </xf>
    <xf numFmtId="0" fontId="9" fillId="3" borderId="0" xfId="0" applyFont="1" applyFill="1" applyAlignment="1" applyProtection="1">
      <alignment horizontal="center"/>
    </xf>
    <xf numFmtId="0" fontId="1" fillId="3" borderId="0" xfId="0" applyFont="1" applyFill="1" applyAlignment="1" applyProtection="1">
      <alignment wrapText="1"/>
    </xf>
    <xf numFmtId="166" fontId="1" fillId="3" borderId="0" xfId="0" applyNumberFormat="1" applyFont="1" applyFill="1" applyAlignment="1" applyProtection="1">
      <alignment wrapText="1"/>
    </xf>
    <xf numFmtId="0" fontId="1" fillId="0" borderId="11" xfId="0" applyFont="1" applyFill="1" applyBorder="1" applyAlignment="1" applyProtection="1">
      <alignment wrapText="1"/>
    </xf>
    <xf numFmtId="0" fontId="1" fillId="0" borderId="0" xfId="0" applyFont="1" applyFill="1" applyBorder="1" applyAlignment="1" applyProtection="1">
      <alignment wrapText="1"/>
    </xf>
    <xf numFmtId="0" fontId="1" fillId="0" borderId="0" xfId="0" applyFont="1" applyFill="1" applyAlignment="1" applyProtection="1">
      <alignment wrapText="1"/>
    </xf>
    <xf numFmtId="0" fontId="7" fillId="3" borderId="0" xfId="0" applyFont="1" applyFill="1" applyAlignment="1" applyProtection="1">
      <alignment horizontal="left" vertical="center"/>
    </xf>
    <xf numFmtId="0" fontId="8" fillId="3" borderId="0" xfId="0" applyFont="1" applyFill="1" applyAlignment="1" applyProtection="1">
      <alignment horizontal="left" vertical="center"/>
    </xf>
    <xf numFmtId="0" fontId="6" fillId="3" borderId="0" xfId="0" applyFont="1" applyFill="1" applyAlignment="1" applyProtection="1">
      <alignment horizontal="center" vertical="center" wrapText="1"/>
    </xf>
    <xf numFmtId="166" fontId="6" fillId="3" borderId="0" xfId="0" applyNumberFormat="1" applyFont="1" applyFill="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0" fontId="3" fillId="5" borderId="0" xfId="0" applyFont="1" applyFill="1" applyAlignment="1" applyProtection="1">
      <alignment vertical="center"/>
    </xf>
    <xf numFmtId="0" fontId="10" fillId="5" borderId="0" xfId="0" applyFont="1" applyFill="1" applyAlignment="1" applyProtection="1">
      <alignment vertical="center"/>
    </xf>
    <xf numFmtId="0" fontId="3" fillId="6" borderId="0" xfId="0" applyFont="1" applyFill="1" applyAlignment="1" applyProtection="1">
      <alignment vertical="center" wrapText="1"/>
    </xf>
    <xf numFmtId="0" fontId="3" fillId="4" borderId="0" xfId="0" applyFont="1" applyFill="1" applyAlignment="1" applyProtection="1">
      <alignment vertical="center" wrapText="1"/>
    </xf>
    <xf numFmtId="166" fontId="3" fillId="4" borderId="0" xfId="0" applyNumberFormat="1" applyFont="1" applyFill="1" applyAlignment="1" applyProtection="1">
      <alignment vertical="center" wrapText="1"/>
    </xf>
    <xf numFmtId="0" fontId="3" fillId="7" borderId="0" xfId="0" applyFont="1" applyFill="1" applyAlignment="1" applyProtection="1">
      <alignment vertical="center" wrapText="1"/>
    </xf>
    <xf numFmtId="0" fontId="3" fillId="0" borderId="11"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3" borderId="0" xfId="0" applyFont="1" applyFill="1" applyAlignment="1" applyProtection="1">
      <alignment vertical="center"/>
    </xf>
    <xf numFmtId="0" fontId="3" fillId="3" borderId="0" xfId="0" applyFont="1" applyFill="1" applyAlignment="1" applyProtection="1">
      <alignment vertical="center" wrapText="1"/>
    </xf>
    <xf numFmtId="166" fontId="3" fillId="3" borderId="0" xfId="0" applyNumberFormat="1" applyFont="1" applyFill="1" applyAlignment="1" applyProtection="1">
      <alignment vertical="center" wrapText="1"/>
    </xf>
    <xf numFmtId="0" fontId="3" fillId="0" borderId="0" xfId="0" applyFont="1" applyFill="1" applyAlignment="1" applyProtection="1">
      <alignment vertical="center" wrapText="1"/>
    </xf>
    <xf numFmtId="0" fontId="3" fillId="8" borderId="6"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3" fillId="8" borderId="1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5" fillId="8" borderId="0" xfId="0" applyFont="1" applyFill="1" applyAlignment="1" applyProtection="1">
      <alignment horizontal="left" vertical="center" wrapText="1"/>
    </xf>
    <xf numFmtId="0" fontId="1" fillId="10" borderId="13" xfId="0" applyFont="1" applyFill="1" applyBorder="1" applyAlignment="1" applyProtection="1">
      <alignment horizontal="left" vertical="top" wrapText="1"/>
    </xf>
    <xf numFmtId="166" fontId="1" fillId="10" borderId="13" xfId="0" applyNumberFormat="1" applyFont="1" applyFill="1" applyBorder="1" applyAlignment="1" applyProtection="1">
      <alignment horizontal="left" vertical="top" wrapText="1"/>
    </xf>
    <xf numFmtId="0" fontId="1" fillId="3" borderId="11" xfId="0" applyFont="1" applyFill="1" applyBorder="1" applyAlignment="1" applyProtection="1">
      <alignment horizontal="left" vertical="top" wrapText="1"/>
    </xf>
    <xf numFmtId="164" fontId="1" fillId="10" borderId="3" xfId="0" applyNumberFormat="1" applyFont="1" applyFill="1" applyBorder="1" applyAlignment="1" applyProtection="1">
      <alignment horizontal="left" vertical="top" wrapText="1"/>
    </xf>
    <xf numFmtId="164" fontId="1" fillId="10" borderId="7" xfId="0" applyNumberFormat="1"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164" fontId="1" fillId="0" borderId="3" xfId="0" applyNumberFormat="1" applyFont="1" applyFill="1" applyBorder="1" applyAlignment="1" applyProtection="1">
      <alignment horizontal="left" vertical="top" wrapText="1"/>
    </xf>
    <xf numFmtId="164" fontId="1" fillId="9" borderId="7" xfId="0" applyNumberFormat="1" applyFont="1" applyFill="1" applyBorder="1" applyAlignment="1" applyProtection="1">
      <alignment horizontal="left" vertical="top" wrapText="1"/>
    </xf>
    <xf numFmtId="0" fontId="1" fillId="3"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1" fillId="8" borderId="0" xfId="0" applyFont="1" applyFill="1" applyAlignment="1" applyProtection="1">
      <alignment horizontal="left" vertical="top" wrapText="1"/>
    </xf>
    <xf numFmtId="0" fontId="2" fillId="10" borderId="3" xfId="0" applyFont="1" applyFill="1" applyBorder="1" applyAlignment="1" applyProtection="1">
      <alignment horizontal="left" vertical="top" wrapText="1"/>
    </xf>
    <xf numFmtId="166" fontId="2" fillId="10" borderId="3" xfId="0" applyNumberFormat="1" applyFont="1" applyFill="1" applyBorder="1" applyAlignment="1" applyProtection="1">
      <alignment horizontal="left" vertical="top" wrapText="1"/>
    </xf>
    <xf numFmtId="0" fontId="2" fillId="8" borderId="3" xfId="0" applyFont="1" applyFill="1" applyBorder="1" applyAlignment="1" applyProtection="1">
      <alignment horizontal="left" vertical="top" wrapText="1"/>
    </xf>
    <xf numFmtId="166" fontId="2" fillId="8" borderId="3" xfId="0" applyNumberFormat="1" applyFont="1" applyFill="1" applyBorder="1" applyAlignment="1" applyProtection="1">
      <alignment horizontal="left" vertical="top" wrapText="1"/>
    </xf>
    <xf numFmtId="0" fontId="13" fillId="0" borderId="24" xfId="0" applyFont="1" applyBorder="1" applyAlignment="1" applyProtection="1">
      <alignment horizontal="left" vertical="center" wrapText="1"/>
    </xf>
    <xf numFmtId="168" fontId="13" fillId="0" borderId="24" xfId="1" applyNumberFormat="1" applyFont="1" applyBorder="1" applyAlignment="1" applyProtection="1">
      <alignment horizontal="left" vertical="center" wrapText="1"/>
    </xf>
    <xf numFmtId="9" fontId="17" fillId="0" borderId="24" xfId="0" applyNumberFormat="1" applyFont="1" applyBorder="1" applyAlignment="1" applyProtection="1">
      <alignment horizontal="left" vertical="center" wrapText="1"/>
    </xf>
    <xf numFmtId="167" fontId="17" fillId="0" borderId="24" xfId="1" applyNumberFormat="1" applyFont="1" applyBorder="1" applyAlignment="1" applyProtection="1">
      <alignment horizontal="left" vertical="center" wrapText="1"/>
    </xf>
    <xf numFmtId="4" fontId="17" fillId="0" borderId="12" xfId="0" applyNumberFormat="1" applyFont="1" applyFill="1" applyBorder="1" applyAlignment="1" applyProtection="1">
      <alignment vertical="center" wrapText="1"/>
    </xf>
    <xf numFmtId="4" fontId="1" fillId="0" borderId="23" xfId="0" applyNumberFormat="1" applyFont="1" applyFill="1" applyBorder="1" applyAlignment="1" applyProtection="1">
      <alignment vertical="center" wrapText="1"/>
    </xf>
    <xf numFmtId="0" fontId="1" fillId="3" borderId="0" xfId="0" applyFont="1" applyFill="1" applyAlignment="1" applyProtection="1">
      <alignment vertical="center" wrapText="1"/>
    </xf>
    <xf numFmtId="0" fontId="1" fillId="0" borderId="0" xfId="0" applyFont="1" applyFill="1" applyAlignment="1" applyProtection="1">
      <alignment vertical="center" wrapText="1"/>
    </xf>
    <xf numFmtId="0" fontId="1" fillId="0" borderId="0" xfId="0" applyFont="1" applyAlignment="1" applyProtection="1">
      <alignment vertical="center" wrapText="1"/>
    </xf>
    <xf numFmtId="167" fontId="13" fillId="0" borderId="24" xfId="1" applyNumberFormat="1" applyFont="1" applyBorder="1" applyAlignment="1" applyProtection="1">
      <alignment horizontal="left" vertical="center" wrapText="1"/>
    </xf>
    <xf numFmtId="44" fontId="13" fillId="0" borderId="24" xfId="1" applyFont="1" applyBorder="1" applyAlignment="1" applyProtection="1">
      <alignment horizontal="left" vertical="center" wrapText="1"/>
    </xf>
    <xf numFmtId="167" fontId="13" fillId="0" borderId="0" xfId="1" applyNumberFormat="1" applyFont="1" applyBorder="1" applyAlignment="1" applyProtection="1">
      <alignment horizontal="left" vertical="center" wrapText="1"/>
    </xf>
    <xf numFmtId="0" fontId="13" fillId="0" borderId="24" xfId="0" applyFont="1" applyBorder="1" applyAlignment="1" applyProtection="1">
      <alignment horizontal="left" wrapText="1"/>
    </xf>
    <xf numFmtId="167" fontId="13" fillId="0" borderId="24" xfId="0" applyNumberFormat="1" applyFont="1" applyBorder="1" applyAlignment="1" applyProtection="1">
      <alignment horizontal="left" vertical="center" wrapText="1"/>
    </xf>
    <xf numFmtId="0" fontId="1" fillId="0" borderId="28" xfId="0" applyFont="1" applyBorder="1" applyAlignment="1" applyProtection="1">
      <alignment wrapText="1"/>
    </xf>
    <xf numFmtId="0" fontId="1" fillId="0" borderId="0" xfId="0" applyFont="1" applyAlignment="1" applyProtection="1">
      <alignment wrapText="1"/>
    </xf>
    <xf numFmtId="44" fontId="1" fillId="0" borderId="0" xfId="1" applyFont="1" applyAlignment="1" applyProtection="1">
      <alignment wrapText="1"/>
    </xf>
    <xf numFmtId="166" fontId="1" fillId="0" borderId="0" xfId="0" applyNumberFormat="1" applyFont="1" applyAlignment="1" applyProtection="1">
      <alignment wrapText="1"/>
    </xf>
    <xf numFmtId="0" fontId="1" fillId="0" borderId="0" xfId="0" applyFont="1" applyAlignment="1" applyProtection="1">
      <alignment horizontal="center" wrapText="1"/>
    </xf>
    <xf numFmtId="4" fontId="1" fillId="0" borderId="11" xfId="0" applyNumberFormat="1" applyFont="1" applyFill="1" applyBorder="1" applyAlignment="1" applyProtection="1">
      <alignment wrapText="1"/>
    </xf>
    <xf numFmtId="4" fontId="1" fillId="0" borderId="0" xfId="0" applyNumberFormat="1" applyFont="1" applyFill="1" applyBorder="1" applyAlignment="1" applyProtection="1">
      <alignment wrapText="1"/>
    </xf>
    <xf numFmtId="0" fontId="3" fillId="0" borderId="3" xfId="0" applyFont="1" applyBorder="1" applyAlignment="1" applyProtection="1">
      <alignment wrapText="1"/>
    </xf>
    <xf numFmtId="0" fontId="1" fillId="0" borderId="0" xfId="0" applyFont="1" applyBorder="1" applyAlignment="1" applyProtection="1">
      <alignment wrapText="1"/>
    </xf>
    <xf numFmtId="0" fontId="1" fillId="0" borderId="0" xfId="0" applyFont="1" applyBorder="1" applyAlignment="1" applyProtection="1">
      <alignment horizontal="center" wrapText="1"/>
    </xf>
    <xf numFmtId="4" fontId="1" fillId="0" borderId="3" xfId="0" applyNumberFormat="1" applyFont="1" applyBorder="1" applyAlignment="1" applyProtection="1">
      <alignment wrapText="1"/>
    </xf>
    <xf numFmtId="0" fontId="1" fillId="0" borderId="21" xfId="0" applyFont="1" applyFill="1" applyBorder="1" applyAlignment="1" applyProtection="1">
      <alignment wrapText="1"/>
    </xf>
    <xf numFmtId="0" fontId="2" fillId="0" borderId="7" xfId="0" applyFont="1" applyBorder="1" applyAlignment="1" applyProtection="1"/>
    <xf numFmtId="0" fontId="1" fillId="0" borderId="5" xfId="0" applyFont="1" applyBorder="1" applyAlignment="1" applyProtection="1">
      <alignment wrapText="1"/>
    </xf>
    <xf numFmtId="0" fontId="1" fillId="0" borderId="23" xfId="0" applyFont="1" applyFill="1" applyBorder="1" applyAlignment="1" applyProtection="1">
      <alignment wrapText="1"/>
    </xf>
    <xf numFmtId="0" fontId="1" fillId="0" borderId="18" xfId="0" applyFont="1" applyFill="1" applyBorder="1" applyAlignment="1" applyProtection="1">
      <alignment wrapText="1"/>
    </xf>
    <xf numFmtId="0" fontId="2" fillId="0" borderId="20" xfId="0" applyFont="1" applyBorder="1" applyAlignment="1" applyProtection="1"/>
    <xf numFmtId="0" fontId="1" fillId="0" borderId="2" xfId="0" applyFont="1" applyBorder="1" applyAlignment="1" applyProtection="1">
      <alignment wrapText="1"/>
    </xf>
    <xf numFmtId="0" fontId="1" fillId="0" borderId="19" xfId="0" applyFont="1" applyFill="1" applyBorder="1" applyAlignment="1" applyProtection="1">
      <alignment wrapText="1"/>
    </xf>
    <xf numFmtId="3" fontId="1" fillId="0" borderId="7" xfId="0" applyNumberFormat="1" applyFont="1" applyBorder="1" applyAlignment="1" applyProtection="1">
      <alignment wrapText="1"/>
    </xf>
    <xf numFmtId="0" fontId="1" fillId="0" borderId="19" xfId="0" applyFont="1" applyBorder="1" applyAlignment="1" applyProtection="1">
      <alignment wrapText="1"/>
    </xf>
    <xf numFmtId="3" fontId="1" fillId="0" borderId="18" xfId="0" applyNumberFormat="1" applyFont="1" applyBorder="1" applyAlignment="1" applyProtection="1">
      <alignment wrapText="1"/>
    </xf>
    <xf numFmtId="3" fontId="1" fillId="0" borderId="0" xfId="0" applyNumberFormat="1" applyFont="1" applyBorder="1" applyAlignment="1" applyProtection="1">
      <alignment wrapText="1"/>
    </xf>
    <xf numFmtId="4" fontId="1" fillId="0" borderId="20" xfId="0" applyNumberFormat="1" applyFont="1" applyBorder="1" applyAlignment="1" applyProtection="1">
      <alignment wrapText="1"/>
    </xf>
    <xf numFmtId="4" fontId="1" fillId="0" borderId="9" xfId="0" applyNumberFormat="1" applyFont="1" applyBorder="1" applyAlignment="1" applyProtection="1">
      <alignment wrapText="1"/>
    </xf>
    <xf numFmtId="4" fontId="1" fillId="0" borderId="2" xfId="0" applyNumberFormat="1" applyFont="1" applyBorder="1" applyAlignment="1" applyProtection="1">
      <alignment wrapText="1"/>
    </xf>
    <xf numFmtId="0" fontId="1" fillId="0" borderId="18" xfId="0" applyFont="1" applyBorder="1" applyAlignment="1" applyProtection="1">
      <alignment wrapText="1"/>
    </xf>
    <xf numFmtId="0" fontId="2" fillId="0" borderId="20" xfId="0" applyFont="1" applyBorder="1" applyAlignment="1" applyProtection="1">
      <alignment horizontal="left"/>
    </xf>
    <xf numFmtId="0" fontId="1" fillId="0" borderId="23" xfId="0" applyFont="1" applyBorder="1" applyAlignment="1" applyProtection="1">
      <alignment wrapText="1"/>
    </xf>
    <xf numFmtId="0" fontId="1" fillId="0" borderId="20" xfId="0" applyFont="1" applyBorder="1" applyAlignment="1" applyProtection="1">
      <alignment wrapText="1"/>
    </xf>
    <xf numFmtId="0" fontId="1" fillId="0" borderId="9" xfId="0" applyFont="1" applyBorder="1" applyAlignment="1" applyProtection="1">
      <alignment wrapText="1"/>
    </xf>
    <xf numFmtId="0" fontId="1" fillId="0" borderId="1" xfId="0" applyFont="1" applyBorder="1" applyAlignment="1" applyProtection="1">
      <alignment wrapText="1"/>
    </xf>
    <xf numFmtId="0" fontId="1" fillId="0" borderId="22" xfId="0" applyFont="1" applyFill="1" applyBorder="1" applyAlignment="1" applyProtection="1">
      <alignment wrapText="1"/>
    </xf>
    <xf numFmtId="0" fontId="13" fillId="0" borderId="26"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44" fontId="13" fillId="0" borderId="26" xfId="1" applyFont="1" applyBorder="1" applyAlignment="1" applyProtection="1">
      <alignment horizontal="center" vertical="center" wrapText="1"/>
    </xf>
    <xf numFmtId="44" fontId="13" fillId="0" borderId="27" xfId="1" applyFont="1" applyBorder="1" applyAlignment="1" applyProtection="1">
      <alignment horizontal="center" vertical="center" wrapText="1"/>
    </xf>
    <xf numFmtId="44" fontId="13" fillId="0" borderId="25" xfId="1" applyFont="1" applyBorder="1" applyAlignment="1" applyProtection="1">
      <alignment horizontal="center" vertical="center" wrapText="1"/>
    </xf>
    <xf numFmtId="0" fontId="11" fillId="4" borderId="0" xfId="0" applyFont="1" applyFill="1" applyAlignment="1" applyProtection="1">
      <alignment horizontal="center"/>
    </xf>
    <xf numFmtId="0" fontId="1" fillId="8" borderId="6" xfId="0" applyFont="1" applyFill="1" applyBorder="1" applyAlignment="1" applyProtection="1">
      <alignment vertical="top" wrapText="1"/>
    </xf>
    <xf numFmtId="0" fontId="1" fillId="8" borderId="1" xfId="0" applyFont="1" applyFill="1" applyBorder="1" applyAlignment="1" applyProtection="1">
      <alignment vertical="top" wrapText="1"/>
    </xf>
    <xf numFmtId="0" fontId="1" fillId="8" borderId="6" xfId="0" applyFont="1" applyFill="1" applyBorder="1" applyAlignment="1" applyProtection="1">
      <alignment horizontal="left" vertical="top" wrapText="1"/>
    </xf>
    <xf numFmtId="0" fontId="1" fillId="8" borderId="1" xfId="0" applyFont="1" applyFill="1" applyBorder="1" applyAlignment="1" applyProtection="1">
      <alignment horizontal="left" vertical="top" wrapText="1"/>
    </xf>
    <xf numFmtId="166" fontId="1" fillId="8" borderId="6" xfId="0" applyNumberFormat="1" applyFont="1" applyFill="1" applyBorder="1" applyAlignment="1" applyProtection="1">
      <alignment horizontal="left" vertical="top" wrapText="1"/>
    </xf>
    <xf numFmtId="166" fontId="1" fillId="8" borderId="1" xfId="0" applyNumberFormat="1" applyFont="1" applyFill="1" applyBorder="1" applyAlignment="1" applyProtection="1">
      <alignment horizontal="left" vertical="top" wrapText="1"/>
    </xf>
    <xf numFmtId="0" fontId="1" fillId="10" borderId="14" xfId="0" applyFont="1" applyFill="1" applyBorder="1" applyAlignment="1" applyProtection="1">
      <alignment horizontal="left" vertical="top" wrapText="1"/>
    </xf>
    <xf numFmtId="0" fontId="1" fillId="10" borderId="16" xfId="0" applyFont="1" applyFill="1" applyBorder="1" applyAlignment="1" applyProtection="1">
      <alignment horizontal="left" vertical="top" wrapText="1"/>
    </xf>
    <xf numFmtId="0" fontId="3" fillId="8" borderId="7" xfId="0" applyFont="1" applyFill="1" applyBorder="1" applyAlignment="1" applyProtection="1">
      <alignment horizontal="left" vertical="center" wrapText="1"/>
    </xf>
    <xf numFmtId="0" fontId="3" fillId="8" borderId="5" xfId="0" applyFont="1" applyFill="1" applyBorder="1" applyAlignment="1" applyProtection="1">
      <alignment horizontal="left" vertical="center" wrapText="1"/>
    </xf>
    <xf numFmtId="0" fontId="1" fillId="10" borderId="6" xfId="0" applyFont="1" applyFill="1" applyBorder="1" applyAlignment="1" applyProtection="1">
      <alignment horizontal="left" vertical="top" wrapText="1"/>
    </xf>
    <xf numFmtId="0" fontId="1" fillId="10" borderId="1" xfId="0" applyFont="1" applyFill="1" applyBorder="1" applyAlignment="1" applyProtection="1">
      <alignment horizontal="left" vertical="top" wrapText="1"/>
    </xf>
    <xf numFmtId="0" fontId="1" fillId="10" borderId="15" xfId="0" applyFont="1" applyFill="1" applyBorder="1" applyAlignment="1" applyProtection="1">
      <alignment horizontal="left" vertical="top" wrapText="1"/>
    </xf>
    <xf numFmtId="0" fontId="1" fillId="10" borderId="17" xfId="0" applyFont="1" applyFill="1" applyBorder="1" applyAlignment="1" applyProtection="1">
      <alignment horizontal="left" vertical="top" wrapText="1"/>
    </xf>
    <xf numFmtId="0" fontId="3" fillId="8" borderId="13" xfId="0" applyFont="1" applyFill="1" applyBorder="1" applyAlignment="1" applyProtection="1">
      <alignment horizontal="left" vertical="center" wrapText="1"/>
    </xf>
    <xf numFmtId="0" fontId="3" fillId="7" borderId="9" xfId="0" applyFont="1" applyFill="1" applyBorder="1" applyAlignment="1" applyProtection="1">
      <alignment horizontal="left" vertical="center" wrapText="1"/>
    </xf>
    <xf numFmtId="0" fontId="1" fillId="8" borderId="7" xfId="0" applyFont="1" applyFill="1" applyBorder="1" applyAlignment="1" applyProtection="1">
      <alignment horizontal="left" vertical="top" wrapText="1"/>
    </xf>
    <xf numFmtId="0" fontId="1" fillId="8" borderId="5" xfId="0" applyFont="1" applyFill="1" applyBorder="1" applyAlignment="1" applyProtection="1">
      <alignment horizontal="left" vertical="top" wrapText="1"/>
    </xf>
    <xf numFmtId="0" fontId="3" fillId="8" borderId="7" xfId="0" applyFont="1" applyFill="1" applyBorder="1" applyAlignment="1" applyProtection="1">
      <alignment horizontal="left" vertical="center"/>
    </xf>
    <xf numFmtId="0" fontId="3" fillId="8" borderId="4" xfId="0" applyFont="1" applyFill="1" applyBorder="1" applyAlignment="1" applyProtection="1">
      <alignment horizontal="left" vertical="center"/>
    </xf>
    <xf numFmtId="0" fontId="3" fillId="8" borderId="5" xfId="0" applyFont="1" applyFill="1" applyBorder="1" applyAlignment="1" applyProtection="1">
      <alignment horizontal="left" vertical="center"/>
    </xf>
    <xf numFmtId="0" fontId="1" fillId="10" borderId="7" xfId="0" applyFont="1" applyFill="1" applyBorder="1" applyAlignment="1" applyProtection="1">
      <alignment horizontal="left" vertical="top" wrapText="1"/>
    </xf>
    <xf numFmtId="0" fontId="1" fillId="10" borderId="5" xfId="0" applyFont="1" applyFill="1" applyBorder="1" applyAlignment="1" applyProtection="1">
      <alignment horizontal="left" vertical="top" wrapText="1"/>
    </xf>
    <xf numFmtId="0" fontId="13" fillId="0" borderId="27" xfId="0" applyFont="1" applyBorder="1" applyAlignment="1" applyProtection="1">
      <alignment horizontal="left" vertical="center" wrapText="1"/>
    </xf>
  </cellXfs>
  <cellStyles count="2">
    <cellStyle name="Currency" xfId="1" builtinId="4"/>
    <cellStyle name="Normal" xfId="0" builtinId="0"/>
  </cellStyles>
  <dxfs count="0"/>
  <tableStyles count="0" defaultTableStyle="TableStyleMedium9" defaultPivotStyle="PivotStyleLight16"/>
  <colors>
    <mruColors>
      <color rgb="FF92B0D2"/>
      <color rgb="FF6BEFEC"/>
      <color rgb="FF17CFCB"/>
      <color rgb="FF16C8C4"/>
      <color rgb="FF15BBB7"/>
      <color rgb="FF15BDB9"/>
      <color rgb="FF00CC99"/>
      <color rgb="FF00FF99"/>
      <color rgb="FF33CC33"/>
      <color rgb="FF2DC1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800100</xdr:colOff>
      <xdr:row>3</xdr:row>
      <xdr:rowOff>228600</xdr:rowOff>
    </xdr:from>
    <xdr:to>
      <xdr:col>1</xdr:col>
      <xdr:colOff>1209675</xdr:colOff>
      <xdr:row>3</xdr:row>
      <xdr:rowOff>228601</xdr:rowOff>
    </xdr:to>
    <xdr:cxnSp macro="">
      <xdr:nvCxnSpPr>
        <xdr:cNvPr id="3" name="Straight Arrow Connector 2"/>
        <xdr:cNvCxnSpPr/>
      </xdr:nvCxnSpPr>
      <xdr:spPr>
        <a:xfrm flipV="1">
          <a:off x="800100" y="1009650"/>
          <a:ext cx="1771650" cy="1"/>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3</xdr:row>
      <xdr:rowOff>238125</xdr:rowOff>
    </xdr:from>
    <xdr:to>
      <xdr:col>5</xdr:col>
      <xdr:colOff>1419225</xdr:colOff>
      <xdr:row>3</xdr:row>
      <xdr:rowOff>239713</xdr:rowOff>
    </xdr:to>
    <xdr:cxnSp macro="">
      <xdr:nvCxnSpPr>
        <xdr:cNvPr id="4" name="Straight Arrow Connector 3"/>
        <xdr:cNvCxnSpPr/>
      </xdr:nvCxnSpPr>
      <xdr:spPr>
        <a:xfrm>
          <a:off x="3733800" y="657225"/>
          <a:ext cx="4591050" cy="1588"/>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238125</xdr:colOff>
      <xdr:row>3</xdr:row>
      <xdr:rowOff>219075</xdr:rowOff>
    </xdr:from>
    <xdr:to>
      <xdr:col>18</xdr:col>
      <xdr:colOff>695325</xdr:colOff>
      <xdr:row>3</xdr:row>
      <xdr:rowOff>220663</xdr:rowOff>
    </xdr:to>
    <xdr:cxnSp macro="">
      <xdr:nvCxnSpPr>
        <xdr:cNvPr id="6" name="Straight Arrow Connector 5"/>
        <xdr:cNvCxnSpPr/>
      </xdr:nvCxnSpPr>
      <xdr:spPr>
        <a:xfrm>
          <a:off x="16621125" y="1000125"/>
          <a:ext cx="2257425" cy="1588"/>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762000</xdr:colOff>
      <xdr:row>3</xdr:row>
      <xdr:rowOff>228600</xdr:rowOff>
    </xdr:from>
    <xdr:to>
      <xdr:col>13</xdr:col>
      <xdr:colOff>733425</xdr:colOff>
      <xdr:row>3</xdr:row>
      <xdr:rowOff>238125</xdr:rowOff>
    </xdr:to>
    <xdr:cxnSp macro="">
      <xdr:nvCxnSpPr>
        <xdr:cNvPr id="7" name="Straight Arrow Connector 6"/>
        <xdr:cNvCxnSpPr/>
      </xdr:nvCxnSpPr>
      <xdr:spPr>
        <a:xfrm>
          <a:off x="8905875" y="1009650"/>
          <a:ext cx="5238750" cy="9525"/>
        </a:xfrm>
        <a:prstGeom prst="straightConnector1">
          <a:avLst/>
        </a:prstGeom>
        <a:ln w="57150" cap="sq">
          <a:solidFill>
            <a:sysClr val="windowText" lastClr="000000"/>
          </a:solidFill>
          <a:miter lim="8000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0"/>
  <sheetViews>
    <sheetView showGridLines="0" tabSelected="1" zoomScale="90" zoomScaleNormal="90" workbookViewId="0">
      <pane xSplit="1" ySplit="7" topLeftCell="B22" activePane="bottomRight" state="frozen"/>
      <selection pane="topRight" activeCell="B1" sqref="B1"/>
      <selection pane="bottomLeft" activeCell="A8" sqref="A8"/>
      <selection pane="bottomRight" activeCell="B6" sqref="B6:B7"/>
    </sheetView>
  </sheetViews>
  <sheetFormatPr defaultRowHeight="12.75" x14ac:dyDescent="0.2"/>
  <cols>
    <col min="1" max="1" width="22.5703125" style="88" customWidth="1"/>
    <col min="2" max="2" width="29.42578125" style="88" customWidth="1"/>
    <col min="3" max="3" width="23.85546875" style="88" customWidth="1"/>
    <col min="4" max="4" width="16.5703125" style="90" customWidth="1"/>
    <col min="5" max="5" width="25" style="88" customWidth="1"/>
    <col min="6" max="6" width="39.85546875" style="88" customWidth="1"/>
    <col min="7" max="7" width="29.7109375" style="88" customWidth="1"/>
    <col min="8" max="8" width="18.28515625" style="88" customWidth="1"/>
    <col min="9" max="9" width="9.85546875" style="88" customWidth="1"/>
    <col min="10" max="10" width="11.28515625" style="88" customWidth="1"/>
    <col min="11" max="11" width="11.28515625" style="88" hidden="1" customWidth="1"/>
    <col min="12" max="12" width="23.28515625" style="88" customWidth="1"/>
    <col min="13" max="13" width="14.5703125" style="90" customWidth="1"/>
    <col min="14" max="14" width="17.7109375" style="88" customWidth="1"/>
    <col min="15" max="15" width="14.7109375" style="88" customWidth="1"/>
    <col min="16" max="16" width="16.5703125" style="88" customWidth="1"/>
    <col min="17" max="17" width="13.85546875" style="88" customWidth="1"/>
    <col min="18" max="18" width="12.28515625" style="88" customWidth="1"/>
    <col min="19" max="19" width="13.5703125" style="88" customWidth="1"/>
    <col min="20" max="20" width="11.85546875" style="28" customWidth="1"/>
    <col min="21" max="21" width="14.28515625" style="29" customWidth="1"/>
    <col min="22" max="23" width="12.85546875" style="29" customWidth="1"/>
    <col min="24" max="24" width="14.42578125" style="29" customWidth="1"/>
    <col min="25" max="25" width="15.42578125" style="29" customWidth="1"/>
    <col min="26" max="26" width="12.85546875" style="29" customWidth="1"/>
    <col min="27" max="27" width="15.85546875" style="29" customWidth="1"/>
    <col min="28" max="29" width="12.7109375" style="88" bestFit="1" customWidth="1"/>
    <col min="30" max="31" width="10.42578125" style="88" customWidth="1"/>
    <col min="32" max="32" width="10.28515625" style="88" customWidth="1"/>
    <col min="33" max="33" width="10.28515625" style="90" customWidth="1"/>
    <col min="34" max="36" width="9.140625" style="26"/>
    <col min="37" max="75" width="9.140625" style="30"/>
    <col min="76" max="16384" width="9.140625" style="88"/>
  </cols>
  <sheetData>
    <row r="1" spans="1:75" s="19" customFormat="1" ht="18" x14ac:dyDescent="0.25">
      <c r="A1" s="128" t="s">
        <v>24</v>
      </c>
      <c r="B1" s="128"/>
      <c r="C1" s="128"/>
      <c r="D1" s="128"/>
      <c r="E1" s="128"/>
      <c r="F1" s="128"/>
      <c r="G1" s="128"/>
      <c r="H1" s="128"/>
      <c r="M1" s="20"/>
      <c r="T1" s="21"/>
      <c r="U1" s="22"/>
      <c r="V1" s="22"/>
      <c r="W1" s="22"/>
      <c r="X1" s="22"/>
      <c r="Y1" s="22"/>
      <c r="Z1" s="22"/>
      <c r="AA1" s="22"/>
      <c r="AG1" s="20"/>
      <c r="AH1" s="23"/>
      <c r="AI1" s="23"/>
      <c r="AJ1" s="23"/>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row>
    <row r="2" spans="1:75" s="26" customFormat="1" ht="7.5" customHeight="1" x14ac:dyDescent="0.25">
      <c r="A2" s="25"/>
      <c r="B2" s="25"/>
      <c r="C2" s="25"/>
      <c r="D2" s="25"/>
      <c r="E2" s="25"/>
      <c r="F2" s="25"/>
      <c r="G2" s="25"/>
      <c r="H2" s="25"/>
      <c r="M2" s="27"/>
      <c r="T2" s="28"/>
      <c r="U2" s="29"/>
      <c r="V2" s="29"/>
      <c r="W2" s="29"/>
      <c r="X2" s="29"/>
      <c r="Y2" s="29"/>
      <c r="Z2" s="29"/>
      <c r="AA2" s="29"/>
      <c r="AG2" s="27"/>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row>
    <row r="3" spans="1:75" s="33" customFormat="1" ht="7.5" customHeight="1" x14ac:dyDescent="0.2">
      <c r="A3" s="31"/>
      <c r="B3" s="32"/>
      <c r="D3" s="34"/>
      <c r="M3" s="34"/>
      <c r="T3" s="35"/>
      <c r="U3" s="36"/>
      <c r="V3" s="36"/>
      <c r="W3" s="36"/>
      <c r="X3" s="36"/>
      <c r="Y3" s="36"/>
      <c r="Z3" s="36"/>
      <c r="AA3" s="36"/>
      <c r="AG3" s="34"/>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row>
    <row r="4" spans="1:75" s="47" customFormat="1" ht="34.5" customHeight="1" thickBot="1" x14ac:dyDescent="0.25">
      <c r="A4" s="38" t="s">
        <v>25</v>
      </c>
      <c r="B4" s="39"/>
      <c r="C4" s="40" t="s">
        <v>26</v>
      </c>
      <c r="D4" s="40"/>
      <c r="E4" s="40"/>
      <c r="F4" s="40"/>
      <c r="G4" s="41" t="s">
        <v>27</v>
      </c>
      <c r="H4" s="41"/>
      <c r="I4" s="41"/>
      <c r="J4" s="41"/>
      <c r="K4" s="41"/>
      <c r="L4" s="41"/>
      <c r="M4" s="42"/>
      <c r="N4" s="41"/>
      <c r="O4" s="144" t="s">
        <v>28</v>
      </c>
      <c r="P4" s="144"/>
      <c r="Q4" s="43"/>
      <c r="R4" s="43"/>
      <c r="S4" s="43"/>
      <c r="T4" s="44"/>
      <c r="U4" s="45"/>
      <c r="V4" s="45"/>
      <c r="W4" s="45"/>
      <c r="X4" s="45"/>
      <c r="Y4" s="45"/>
      <c r="Z4" s="45"/>
      <c r="AA4" s="45"/>
      <c r="AB4" s="46"/>
      <c r="AG4" s="48"/>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row>
    <row r="5" spans="1:75" s="57" customFormat="1" ht="47.25" customHeight="1" thickBot="1" x14ac:dyDescent="0.25">
      <c r="A5" s="50" t="s">
        <v>16</v>
      </c>
      <c r="B5" s="50" t="s">
        <v>71</v>
      </c>
      <c r="C5" s="137" t="s">
        <v>0</v>
      </c>
      <c r="D5" s="138"/>
      <c r="E5" s="51" t="s">
        <v>51</v>
      </c>
      <c r="F5" s="143" t="s">
        <v>30</v>
      </c>
      <c r="G5" s="143"/>
      <c r="H5" s="143"/>
      <c r="I5" s="143"/>
      <c r="J5" s="143"/>
      <c r="K5" s="143"/>
      <c r="L5" s="143"/>
      <c r="M5" s="143"/>
      <c r="N5" s="143"/>
      <c r="O5" s="52" t="s">
        <v>19</v>
      </c>
      <c r="P5" s="52" t="s">
        <v>18</v>
      </c>
      <c r="Q5" s="52" t="s">
        <v>17</v>
      </c>
      <c r="R5" s="50" t="s">
        <v>20</v>
      </c>
      <c r="S5" s="50" t="s">
        <v>1</v>
      </c>
      <c r="T5" s="53"/>
      <c r="U5" s="147" t="s">
        <v>7</v>
      </c>
      <c r="V5" s="148"/>
      <c r="W5" s="148"/>
      <c r="X5" s="148"/>
      <c r="Y5" s="148"/>
      <c r="Z5" s="149"/>
      <c r="AA5" s="54"/>
      <c r="AB5" s="147" t="s">
        <v>7</v>
      </c>
      <c r="AC5" s="148"/>
      <c r="AD5" s="148"/>
      <c r="AE5" s="148"/>
      <c r="AF5" s="148"/>
      <c r="AG5" s="149"/>
      <c r="AH5" s="55"/>
      <c r="AI5" s="55"/>
      <c r="AJ5" s="55"/>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row>
    <row r="6" spans="1:75" s="68" customFormat="1" ht="28.5" customHeight="1" thickBot="1" x14ac:dyDescent="0.25">
      <c r="A6" s="129" t="s">
        <v>53</v>
      </c>
      <c r="B6" s="131" t="s">
        <v>32</v>
      </c>
      <c r="C6" s="131" t="s">
        <v>33</v>
      </c>
      <c r="D6" s="133" t="s">
        <v>54</v>
      </c>
      <c r="E6" s="135" t="s">
        <v>52</v>
      </c>
      <c r="F6" s="58" t="s">
        <v>2</v>
      </c>
      <c r="G6" s="58" t="s">
        <v>3</v>
      </c>
      <c r="H6" s="58" t="s">
        <v>4</v>
      </c>
      <c r="I6" s="58" t="s">
        <v>6</v>
      </c>
      <c r="J6" s="58" t="s">
        <v>5</v>
      </c>
      <c r="K6" s="58" t="s">
        <v>47</v>
      </c>
      <c r="L6" s="58" t="s">
        <v>29</v>
      </c>
      <c r="M6" s="59" t="s">
        <v>43</v>
      </c>
      <c r="N6" s="58" t="s">
        <v>4</v>
      </c>
      <c r="O6" s="141" t="s">
        <v>37</v>
      </c>
      <c r="P6" s="139" t="s">
        <v>22</v>
      </c>
      <c r="Q6" s="139" t="s">
        <v>21</v>
      </c>
      <c r="R6" s="139" t="s">
        <v>23</v>
      </c>
      <c r="S6" s="139" t="s">
        <v>38</v>
      </c>
      <c r="T6" s="60"/>
      <c r="U6" s="150" t="s">
        <v>31</v>
      </c>
      <c r="V6" s="151"/>
      <c r="W6" s="61">
        <v>2.5000000000000001E-2</v>
      </c>
      <c r="X6" s="62"/>
      <c r="Y6" s="150"/>
      <c r="Z6" s="151"/>
      <c r="AA6" s="63"/>
      <c r="AB6" s="145" t="s">
        <v>31</v>
      </c>
      <c r="AC6" s="146"/>
      <c r="AD6" s="64"/>
      <c r="AE6" s="65"/>
      <c r="AF6" s="145"/>
      <c r="AG6" s="146"/>
      <c r="AH6" s="66"/>
      <c r="AI6" s="66"/>
      <c r="AJ6" s="66"/>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row>
    <row r="7" spans="1:75" s="68" customFormat="1" ht="79.5" customHeight="1" thickBot="1" x14ac:dyDescent="0.25">
      <c r="A7" s="130"/>
      <c r="B7" s="132"/>
      <c r="C7" s="132"/>
      <c r="D7" s="134"/>
      <c r="E7" s="136"/>
      <c r="F7" s="58" t="s">
        <v>55</v>
      </c>
      <c r="G7" s="58" t="s">
        <v>61</v>
      </c>
      <c r="H7" s="58" t="s">
        <v>34</v>
      </c>
      <c r="I7" s="58" t="s">
        <v>35</v>
      </c>
      <c r="J7" s="58" t="s">
        <v>46</v>
      </c>
      <c r="K7" s="58" t="s">
        <v>45</v>
      </c>
      <c r="L7" s="58" t="s">
        <v>36</v>
      </c>
      <c r="M7" s="59" t="s">
        <v>42</v>
      </c>
      <c r="N7" s="58" t="s">
        <v>34</v>
      </c>
      <c r="O7" s="142"/>
      <c r="P7" s="140"/>
      <c r="Q7" s="140"/>
      <c r="R7" s="140"/>
      <c r="S7" s="140"/>
      <c r="T7" s="60"/>
      <c r="U7" s="69" t="s">
        <v>44</v>
      </c>
      <c r="V7" s="69" t="s">
        <v>11</v>
      </c>
      <c r="W7" s="69" t="s">
        <v>12</v>
      </c>
      <c r="X7" s="69" t="s">
        <v>13</v>
      </c>
      <c r="Y7" s="69" t="s">
        <v>14</v>
      </c>
      <c r="Z7" s="70" t="s">
        <v>15</v>
      </c>
      <c r="AA7" s="63"/>
      <c r="AB7" s="71" t="s">
        <v>44</v>
      </c>
      <c r="AC7" s="71" t="s">
        <v>11</v>
      </c>
      <c r="AD7" s="71" t="s">
        <v>12</v>
      </c>
      <c r="AE7" s="71" t="s">
        <v>13</v>
      </c>
      <c r="AF7" s="71" t="s">
        <v>14</v>
      </c>
      <c r="AG7" s="72" t="s">
        <v>15</v>
      </c>
      <c r="AH7" s="66"/>
      <c r="AI7" s="66"/>
      <c r="AJ7" s="66"/>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row>
    <row r="8" spans="1:75" s="81" customFormat="1" ht="115.5" thickBot="1" x14ac:dyDescent="0.25">
      <c r="A8" s="122" t="s">
        <v>59</v>
      </c>
      <c r="B8" s="122" t="s">
        <v>67</v>
      </c>
      <c r="C8" s="122" t="s">
        <v>56</v>
      </c>
      <c r="D8" s="125">
        <v>0</v>
      </c>
      <c r="E8" s="122" t="s">
        <v>68</v>
      </c>
      <c r="F8" s="73" t="s">
        <v>118</v>
      </c>
      <c r="G8" s="73" t="s">
        <v>101</v>
      </c>
      <c r="H8" s="73" t="s">
        <v>69</v>
      </c>
      <c r="I8" s="73"/>
      <c r="J8" s="73"/>
      <c r="K8" s="73"/>
      <c r="L8" s="73"/>
      <c r="M8" s="74"/>
      <c r="N8" s="73"/>
      <c r="O8" s="75">
        <v>0</v>
      </c>
      <c r="P8" s="75">
        <v>0</v>
      </c>
      <c r="Q8" s="75">
        <v>0</v>
      </c>
      <c r="R8" s="75">
        <v>0</v>
      </c>
      <c r="S8" s="76">
        <f>I8*M8*(1-O8)*(1-P8)*(1-Q8)</f>
        <v>0</v>
      </c>
      <c r="T8" s="77"/>
      <c r="U8" s="12">
        <f t="shared" ref="U8" si="0">IF(K8=1,AB8,0)</f>
        <v>0</v>
      </c>
      <c r="V8" s="12">
        <f t="shared" ref="V8" si="1">IF(K8=1,AC8, AB8)</f>
        <v>0</v>
      </c>
      <c r="W8" s="12">
        <f t="shared" ref="W8" si="2">AD8</f>
        <v>0</v>
      </c>
      <c r="X8" s="12">
        <f t="shared" ref="X8" si="3">AE8</f>
        <v>0</v>
      </c>
      <c r="Y8" s="12">
        <f t="shared" ref="Y8" si="4">AF8</f>
        <v>0</v>
      </c>
      <c r="Z8" s="12">
        <f t="shared" ref="Z8" si="5">AG8</f>
        <v>0</v>
      </c>
      <c r="AA8" s="78"/>
      <c r="AB8" s="7">
        <f>IF(J8&gt;=0,S8,0)</f>
        <v>0</v>
      </c>
      <c r="AC8" s="7">
        <f t="shared" ref="AC8" si="6">IF(J8&gt;=1,S8,0)</f>
        <v>0</v>
      </c>
      <c r="AD8" s="7">
        <f t="shared" ref="AD8" si="7">IF(J8&gt;1,AC8,0)*(1-R8)</f>
        <v>0</v>
      </c>
      <c r="AE8" s="7">
        <f t="shared" ref="AE8" si="8">IF(J8&gt;2,AD8,0)*(1-R8)</f>
        <v>0</v>
      </c>
      <c r="AF8" s="7">
        <f>IF(J8&gt;3,AE8,0)*(1-R8)</f>
        <v>0</v>
      </c>
      <c r="AG8" s="7">
        <f>IF(J8&gt;4,AF8,0)*(1-R8)</f>
        <v>0</v>
      </c>
      <c r="AH8" s="79"/>
      <c r="AI8" s="79"/>
      <c r="AJ8" s="79"/>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row>
    <row r="9" spans="1:75" s="81" customFormat="1" ht="67.5" customHeight="1" thickBot="1" x14ac:dyDescent="0.25">
      <c r="A9" s="124"/>
      <c r="B9" s="124"/>
      <c r="C9" s="124"/>
      <c r="D9" s="126"/>
      <c r="E9" s="124"/>
      <c r="F9" s="73" t="s">
        <v>119</v>
      </c>
      <c r="G9" s="73" t="s">
        <v>102</v>
      </c>
      <c r="H9" s="73" t="s">
        <v>98</v>
      </c>
      <c r="I9" s="73">
        <v>3.5</v>
      </c>
      <c r="J9" s="73">
        <v>1</v>
      </c>
      <c r="K9" s="73">
        <v>2</v>
      </c>
      <c r="L9" s="73" t="s">
        <v>100</v>
      </c>
      <c r="M9" s="82">
        <v>1847900</v>
      </c>
      <c r="N9" s="73" t="s">
        <v>98</v>
      </c>
      <c r="O9" s="75">
        <v>0.5</v>
      </c>
      <c r="P9" s="75">
        <v>0</v>
      </c>
      <c r="Q9" s="75">
        <v>0.5</v>
      </c>
      <c r="R9" s="75">
        <v>0</v>
      </c>
      <c r="S9" s="76">
        <f t="shared" ref="S9:S14" si="9">I9*M9*(1-O9)*(1-P9)*(1-Q9)</f>
        <v>1616912.5</v>
      </c>
      <c r="T9" s="77"/>
      <c r="U9" s="12">
        <f t="shared" ref="U9:U25" si="10">IF(K9=1,AB9,0)</f>
        <v>0</v>
      </c>
      <c r="V9" s="12">
        <f t="shared" ref="V9:V25" si="11">IF(K9=1,AC9, AB9)</f>
        <v>1616912.5</v>
      </c>
      <c r="W9" s="12">
        <f t="shared" ref="W9:W25" si="12">AD9</f>
        <v>0</v>
      </c>
      <c r="X9" s="12">
        <f t="shared" ref="X9:X25" si="13">AE9</f>
        <v>0</v>
      </c>
      <c r="Y9" s="12">
        <f t="shared" ref="Y9:Y25" si="14">AF9</f>
        <v>0</v>
      </c>
      <c r="Z9" s="12">
        <f t="shared" ref="Z9:Z25" si="15">AG9</f>
        <v>0</v>
      </c>
      <c r="AA9" s="78"/>
      <c r="AB9" s="7">
        <f t="shared" ref="AB9:AB25" si="16">IF(J9&gt;=0,S9,0)</f>
        <v>1616912.5</v>
      </c>
      <c r="AC9" s="7">
        <f t="shared" ref="AC9:AC25" si="17">IF(J9&gt;=1,S9,0)</f>
        <v>1616912.5</v>
      </c>
      <c r="AD9" s="7">
        <f t="shared" ref="AD9:AD25" si="18">IF(J9&gt;1,AC9,0)*(1-R9)</f>
        <v>0</v>
      </c>
      <c r="AE9" s="7">
        <f t="shared" ref="AE9:AE25" si="19">IF(J9&gt;2,AD9,0)*(1-R9)</f>
        <v>0</v>
      </c>
      <c r="AF9" s="7">
        <f t="shared" ref="AF9:AF25" si="20">IF(J9&gt;3,AE9,0)*(1-R9)</f>
        <v>0</v>
      </c>
      <c r="AG9" s="7">
        <f t="shared" ref="AG9:AG25" si="21">IF(J9&gt;4,AF9,0)*(1-R9)</f>
        <v>0</v>
      </c>
      <c r="AH9" s="79"/>
      <c r="AI9" s="79"/>
      <c r="AJ9" s="79"/>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row>
    <row r="10" spans="1:75" s="81" customFormat="1" ht="39" thickBot="1" x14ac:dyDescent="0.25">
      <c r="A10" s="124"/>
      <c r="B10" s="124"/>
      <c r="C10" s="124"/>
      <c r="D10" s="126"/>
      <c r="E10" s="124"/>
      <c r="F10" s="120" t="s">
        <v>120</v>
      </c>
      <c r="G10" s="73" t="s">
        <v>107</v>
      </c>
      <c r="H10" s="73" t="s">
        <v>108</v>
      </c>
      <c r="I10" s="73">
        <v>194</v>
      </c>
      <c r="J10" s="73">
        <v>1</v>
      </c>
      <c r="K10" s="73">
        <v>2</v>
      </c>
      <c r="L10" s="73" t="s">
        <v>110</v>
      </c>
      <c r="M10" s="82">
        <v>331000</v>
      </c>
      <c r="N10" s="73" t="s">
        <v>94</v>
      </c>
      <c r="O10" s="75">
        <v>0.67500000000000004</v>
      </c>
      <c r="P10" s="75">
        <v>0</v>
      </c>
      <c r="Q10" s="75">
        <v>0.75</v>
      </c>
      <c r="R10" s="75">
        <v>0</v>
      </c>
      <c r="S10" s="76">
        <f t="shared" si="9"/>
        <v>5217387.4999999991</v>
      </c>
      <c r="T10" s="77"/>
      <c r="U10" s="13">
        <f t="shared" si="10"/>
        <v>0</v>
      </c>
      <c r="V10" s="13">
        <f t="shared" si="11"/>
        <v>5217387.4999999991</v>
      </c>
      <c r="W10" s="13">
        <f t="shared" si="12"/>
        <v>0</v>
      </c>
      <c r="X10" s="13">
        <f t="shared" si="13"/>
        <v>0</v>
      </c>
      <c r="Y10" s="13">
        <f t="shared" si="14"/>
        <v>0</v>
      </c>
      <c r="Z10" s="13">
        <f t="shared" si="15"/>
        <v>0</v>
      </c>
      <c r="AA10" s="78"/>
      <c r="AB10" s="7">
        <f t="shared" si="16"/>
        <v>5217387.4999999991</v>
      </c>
      <c r="AC10" s="7">
        <f t="shared" si="17"/>
        <v>5217387.4999999991</v>
      </c>
      <c r="AD10" s="7">
        <f t="shared" si="18"/>
        <v>0</v>
      </c>
      <c r="AE10" s="7">
        <f t="shared" si="19"/>
        <v>0</v>
      </c>
      <c r="AF10" s="7">
        <f t="shared" si="20"/>
        <v>0</v>
      </c>
      <c r="AG10" s="7">
        <f t="shared" si="21"/>
        <v>0</v>
      </c>
      <c r="AH10" s="79"/>
      <c r="AI10" s="79"/>
      <c r="AJ10" s="79"/>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row>
    <row r="11" spans="1:75" s="81" customFormat="1" ht="39.75" customHeight="1" thickBot="1" x14ac:dyDescent="0.25">
      <c r="A11" s="124"/>
      <c r="B11" s="124"/>
      <c r="C11" s="124"/>
      <c r="D11" s="126"/>
      <c r="E11" s="124"/>
      <c r="F11" s="152"/>
      <c r="G11" s="73" t="s">
        <v>86</v>
      </c>
      <c r="H11" s="73" t="s">
        <v>90</v>
      </c>
      <c r="I11" s="73">
        <v>18</v>
      </c>
      <c r="J11" s="73">
        <v>1</v>
      </c>
      <c r="K11" s="73">
        <v>2</v>
      </c>
      <c r="L11" s="73" t="s">
        <v>111</v>
      </c>
      <c r="M11" s="82">
        <f>423000-9400</f>
        <v>413600</v>
      </c>
      <c r="N11" s="73" t="s">
        <v>94</v>
      </c>
      <c r="O11" s="75">
        <v>0.89</v>
      </c>
      <c r="P11" s="75">
        <v>0</v>
      </c>
      <c r="Q11" s="75">
        <v>0.75</v>
      </c>
      <c r="R11" s="75">
        <v>0</v>
      </c>
      <c r="S11" s="76">
        <f t="shared" si="9"/>
        <v>204731.99999999997</v>
      </c>
      <c r="T11" s="77"/>
      <c r="U11" s="13">
        <f t="shared" si="10"/>
        <v>0</v>
      </c>
      <c r="V11" s="13">
        <f t="shared" si="11"/>
        <v>204731.99999999997</v>
      </c>
      <c r="W11" s="13">
        <f t="shared" si="12"/>
        <v>0</v>
      </c>
      <c r="X11" s="13">
        <f t="shared" si="13"/>
        <v>0</v>
      </c>
      <c r="Y11" s="13">
        <f t="shared" si="14"/>
        <v>0</v>
      </c>
      <c r="Z11" s="13">
        <f t="shared" si="15"/>
        <v>0</v>
      </c>
      <c r="AA11" s="78"/>
      <c r="AB11" s="7">
        <f t="shared" si="16"/>
        <v>204731.99999999997</v>
      </c>
      <c r="AC11" s="7">
        <f t="shared" si="17"/>
        <v>204731.99999999997</v>
      </c>
      <c r="AD11" s="7">
        <f t="shared" si="18"/>
        <v>0</v>
      </c>
      <c r="AE11" s="7">
        <f t="shared" si="19"/>
        <v>0</v>
      </c>
      <c r="AF11" s="7">
        <f t="shared" si="20"/>
        <v>0</v>
      </c>
      <c r="AG11" s="7">
        <f t="shared" si="21"/>
        <v>0</v>
      </c>
      <c r="AH11" s="79"/>
      <c r="AI11" s="79"/>
      <c r="AJ11" s="79"/>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row>
    <row r="12" spans="1:75" s="81" customFormat="1" ht="29.25" customHeight="1" thickBot="1" x14ac:dyDescent="0.25">
      <c r="A12" s="124"/>
      <c r="B12" s="124"/>
      <c r="C12" s="124"/>
      <c r="D12" s="126"/>
      <c r="E12" s="124"/>
      <c r="F12" s="152"/>
      <c r="G12" s="73" t="s">
        <v>87</v>
      </c>
      <c r="H12" s="73" t="s">
        <v>90</v>
      </c>
      <c r="I12" s="73">
        <v>31</v>
      </c>
      <c r="J12" s="73">
        <v>1</v>
      </c>
      <c r="K12" s="73">
        <v>2</v>
      </c>
      <c r="L12" s="73" t="s">
        <v>91</v>
      </c>
      <c r="M12" s="82">
        <v>497800</v>
      </c>
      <c r="N12" s="73" t="s">
        <v>94</v>
      </c>
      <c r="O12" s="75">
        <v>0.67</v>
      </c>
      <c r="P12" s="75">
        <v>0</v>
      </c>
      <c r="Q12" s="75">
        <v>0.75</v>
      </c>
      <c r="R12" s="75">
        <v>0</v>
      </c>
      <c r="S12" s="76">
        <f t="shared" si="9"/>
        <v>1273123.4999999998</v>
      </c>
      <c r="T12" s="77"/>
      <c r="U12" s="13">
        <f t="shared" si="10"/>
        <v>0</v>
      </c>
      <c r="V12" s="13">
        <f t="shared" si="11"/>
        <v>1273123.4999999998</v>
      </c>
      <c r="W12" s="13">
        <f t="shared" si="12"/>
        <v>0</v>
      </c>
      <c r="X12" s="13">
        <f t="shared" si="13"/>
        <v>0</v>
      </c>
      <c r="Y12" s="13">
        <f t="shared" si="14"/>
        <v>0</v>
      </c>
      <c r="Z12" s="13">
        <f t="shared" si="15"/>
        <v>0</v>
      </c>
      <c r="AA12" s="78"/>
      <c r="AB12" s="7">
        <f t="shared" si="16"/>
        <v>1273123.4999999998</v>
      </c>
      <c r="AC12" s="7">
        <f t="shared" si="17"/>
        <v>1273123.4999999998</v>
      </c>
      <c r="AD12" s="7">
        <f t="shared" si="18"/>
        <v>0</v>
      </c>
      <c r="AE12" s="7">
        <f t="shared" si="19"/>
        <v>0</v>
      </c>
      <c r="AF12" s="7">
        <f t="shared" si="20"/>
        <v>0</v>
      </c>
      <c r="AG12" s="7">
        <f t="shared" si="21"/>
        <v>0</v>
      </c>
      <c r="AH12" s="79"/>
      <c r="AI12" s="79"/>
      <c r="AJ12" s="79"/>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row>
    <row r="13" spans="1:75" s="81" customFormat="1" ht="29.25" customHeight="1" thickBot="1" x14ac:dyDescent="0.25">
      <c r="A13" s="124"/>
      <c r="B13" s="124"/>
      <c r="C13" s="124"/>
      <c r="D13" s="126"/>
      <c r="E13" s="124"/>
      <c r="F13" s="152"/>
      <c r="G13" s="73" t="s">
        <v>88</v>
      </c>
      <c r="H13" s="73" t="s">
        <v>90</v>
      </c>
      <c r="I13" s="73">
        <v>7</v>
      </c>
      <c r="J13" s="73">
        <v>1</v>
      </c>
      <c r="K13" s="73">
        <v>2</v>
      </c>
      <c r="L13" s="73" t="s">
        <v>92</v>
      </c>
      <c r="M13" s="82">
        <f>403000-31200</f>
        <v>371800</v>
      </c>
      <c r="N13" s="73" t="s">
        <v>94</v>
      </c>
      <c r="O13" s="75">
        <v>0.38</v>
      </c>
      <c r="P13" s="75">
        <v>0</v>
      </c>
      <c r="Q13" s="75">
        <v>0.75</v>
      </c>
      <c r="R13" s="75">
        <v>0</v>
      </c>
      <c r="S13" s="76">
        <f t="shared" si="9"/>
        <v>403403</v>
      </c>
      <c r="T13" s="77"/>
      <c r="U13" s="13">
        <f t="shared" si="10"/>
        <v>0</v>
      </c>
      <c r="V13" s="13">
        <f t="shared" si="11"/>
        <v>403403</v>
      </c>
      <c r="W13" s="13">
        <f t="shared" si="12"/>
        <v>0</v>
      </c>
      <c r="X13" s="13">
        <f t="shared" si="13"/>
        <v>0</v>
      </c>
      <c r="Y13" s="13">
        <f t="shared" si="14"/>
        <v>0</v>
      </c>
      <c r="Z13" s="13">
        <f t="shared" si="15"/>
        <v>0</v>
      </c>
      <c r="AA13" s="78"/>
      <c r="AB13" s="7">
        <f t="shared" si="16"/>
        <v>403403</v>
      </c>
      <c r="AC13" s="7">
        <f t="shared" si="17"/>
        <v>403403</v>
      </c>
      <c r="AD13" s="7">
        <f t="shared" si="18"/>
        <v>0</v>
      </c>
      <c r="AE13" s="7">
        <f t="shared" si="19"/>
        <v>0</v>
      </c>
      <c r="AF13" s="7">
        <f t="shared" si="20"/>
        <v>0</v>
      </c>
      <c r="AG13" s="7">
        <f t="shared" si="21"/>
        <v>0</v>
      </c>
      <c r="AH13" s="79"/>
      <c r="AI13" s="79"/>
      <c r="AJ13" s="79"/>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row>
    <row r="14" spans="1:75" s="81" customFormat="1" ht="29.25" customHeight="1" thickBot="1" x14ac:dyDescent="0.25">
      <c r="A14" s="124"/>
      <c r="B14" s="124"/>
      <c r="C14" s="124"/>
      <c r="D14" s="126"/>
      <c r="E14" s="124"/>
      <c r="F14" s="121"/>
      <c r="G14" s="73" t="s">
        <v>89</v>
      </c>
      <c r="H14" s="73" t="s">
        <v>90</v>
      </c>
      <c r="I14" s="73">
        <v>3</v>
      </c>
      <c r="J14" s="73">
        <v>1</v>
      </c>
      <c r="K14" s="73">
        <v>2</v>
      </c>
      <c r="L14" s="73" t="s">
        <v>93</v>
      </c>
      <c r="M14" s="82">
        <f>1380000-125600</f>
        <v>1254400</v>
      </c>
      <c r="N14" s="73" t="s">
        <v>94</v>
      </c>
      <c r="O14" s="75">
        <v>0.71</v>
      </c>
      <c r="P14" s="75">
        <v>0</v>
      </c>
      <c r="Q14" s="75">
        <v>0.75</v>
      </c>
      <c r="R14" s="75">
        <v>0</v>
      </c>
      <c r="S14" s="76">
        <f t="shared" si="9"/>
        <v>272832.00000000006</v>
      </c>
      <c r="T14" s="77"/>
      <c r="U14" s="13">
        <f t="shared" si="10"/>
        <v>0</v>
      </c>
      <c r="V14" s="13">
        <f t="shared" si="11"/>
        <v>272832.00000000006</v>
      </c>
      <c r="W14" s="13">
        <f t="shared" si="12"/>
        <v>0</v>
      </c>
      <c r="X14" s="13">
        <f t="shared" si="13"/>
        <v>0</v>
      </c>
      <c r="Y14" s="13">
        <f t="shared" si="14"/>
        <v>0</v>
      </c>
      <c r="Z14" s="13">
        <f t="shared" si="15"/>
        <v>0</v>
      </c>
      <c r="AA14" s="78"/>
      <c r="AB14" s="7">
        <f t="shared" si="16"/>
        <v>272832.00000000006</v>
      </c>
      <c r="AC14" s="7">
        <f t="shared" si="17"/>
        <v>272832.00000000006</v>
      </c>
      <c r="AD14" s="7">
        <f t="shared" si="18"/>
        <v>0</v>
      </c>
      <c r="AE14" s="7">
        <f t="shared" si="19"/>
        <v>0</v>
      </c>
      <c r="AF14" s="7">
        <f t="shared" si="20"/>
        <v>0</v>
      </c>
      <c r="AG14" s="7">
        <f t="shared" si="21"/>
        <v>0</v>
      </c>
      <c r="AH14" s="79"/>
      <c r="AI14" s="79"/>
      <c r="AJ14" s="79"/>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row>
    <row r="15" spans="1:75" s="81" customFormat="1" ht="73.5" customHeight="1" thickBot="1" x14ac:dyDescent="0.25">
      <c r="A15" s="122" t="s">
        <v>60</v>
      </c>
      <c r="B15" s="122" t="s">
        <v>70</v>
      </c>
      <c r="C15" s="120" t="s">
        <v>72</v>
      </c>
      <c r="D15" s="125">
        <v>673842</v>
      </c>
      <c r="E15" s="122" t="s">
        <v>58</v>
      </c>
      <c r="F15" s="73" t="s">
        <v>121</v>
      </c>
      <c r="G15" s="73" t="s">
        <v>104</v>
      </c>
      <c r="H15" s="73" t="s">
        <v>75</v>
      </c>
      <c r="I15" s="73"/>
      <c r="J15" s="73"/>
      <c r="K15" s="73"/>
      <c r="L15" s="73"/>
      <c r="M15" s="83"/>
      <c r="N15" s="73"/>
      <c r="O15" s="75">
        <v>0</v>
      </c>
      <c r="P15" s="75">
        <v>0</v>
      </c>
      <c r="Q15" s="75">
        <v>0</v>
      </c>
      <c r="R15" s="75">
        <v>0</v>
      </c>
      <c r="S15" s="76">
        <f t="shared" ref="S15:S25" si="22">+I15*M15*(1-O15)*(1-P15)*(1-Q15)</f>
        <v>0</v>
      </c>
      <c r="T15" s="77"/>
      <c r="U15" s="13">
        <f t="shared" si="10"/>
        <v>0</v>
      </c>
      <c r="V15" s="13">
        <f t="shared" si="11"/>
        <v>0</v>
      </c>
      <c r="W15" s="13">
        <f t="shared" si="12"/>
        <v>0</v>
      </c>
      <c r="X15" s="13">
        <f t="shared" si="13"/>
        <v>0</v>
      </c>
      <c r="Y15" s="13">
        <f t="shared" si="14"/>
        <v>0</v>
      </c>
      <c r="Z15" s="13">
        <f t="shared" si="15"/>
        <v>0</v>
      </c>
      <c r="AA15" s="78"/>
      <c r="AB15" s="7">
        <f t="shared" si="16"/>
        <v>0</v>
      </c>
      <c r="AC15" s="7">
        <f t="shared" si="17"/>
        <v>0</v>
      </c>
      <c r="AD15" s="7">
        <f t="shared" si="18"/>
        <v>0</v>
      </c>
      <c r="AE15" s="7">
        <f t="shared" si="19"/>
        <v>0</v>
      </c>
      <c r="AF15" s="7">
        <f t="shared" si="20"/>
        <v>0</v>
      </c>
      <c r="AG15" s="7">
        <f t="shared" si="21"/>
        <v>0</v>
      </c>
      <c r="AH15" s="79"/>
      <c r="AI15" s="79"/>
      <c r="AJ15" s="79"/>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row>
    <row r="16" spans="1:75" s="81" customFormat="1" ht="67.5" customHeight="1" thickBot="1" x14ac:dyDescent="0.25">
      <c r="A16" s="124"/>
      <c r="B16" s="124"/>
      <c r="C16" s="152"/>
      <c r="D16" s="126"/>
      <c r="E16" s="124"/>
      <c r="F16" s="73" t="s">
        <v>122</v>
      </c>
      <c r="G16" s="73" t="s">
        <v>114</v>
      </c>
      <c r="H16" s="73" t="s">
        <v>75</v>
      </c>
      <c r="I16" s="73">
        <v>3.5</v>
      </c>
      <c r="J16" s="73">
        <v>1</v>
      </c>
      <c r="K16" s="73">
        <v>2</v>
      </c>
      <c r="L16" s="73" t="s">
        <v>103</v>
      </c>
      <c r="M16" s="84">
        <v>1738839</v>
      </c>
      <c r="N16" s="85" t="s">
        <v>97</v>
      </c>
      <c r="O16" s="75">
        <v>0.39</v>
      </c>
      <c r="P16" s="75">
        <v>0</v>
      </c>
      <c r="Q16" s="75">
        <v>0</v>
      </c>
      <c r="R16" s="75">
        <v>0</v>
      </c>
      <c r="S16" s="76">
        <f t="shared" si="22"/>
        <v>3712421.2650000001</v>
      </c>
      <c r="T16" s="77"/>
      <c r="U16" s="13">
        <f t="shared" si="10"/>
        <v>0</v>
      </c>
      <c r="V16" s="13">
        <f t="shared" si="11"/>
        <v>3712421.2650000001</v>
      </c>
      <c r="W16" s="13">
        <f t="shared" si="12"/>
        <v>0</v>
      </c>
      <c r="X16" s="13">
        <f t="shared" si="13"/>
        <v>0</v>
      </c>
      <c r="Y16" s="13">
        <f t="shared" si="14"/>
        <v>0</v>
      </c>
      <c r="Z16" s="13">
        <f t="shared" si="15"/>
        <v>0</v>
      </c>
      <c r="AA16" s="78"/>
      <c r="AB16" s="7">
        <f t="shared" si="16"/>
        <v>3712421.2650000001</v>
      </c>
      <c r="AC16" s="7">
        <f t="shared" si="17"/>
        <v>3712421.2650000001</v>
      </c>
      <c r="AD16" s="7">
        <f t="shared" si="18"/>
        <v>0</v>
      </c>
      <c r="AE16" s="7">
        <f t="shared" si="19"/>
        <v>0</v>
      </c>
      <c r="AF16" s="7">
        <f t="shared" si="20"/>
        <v>0</v>
      </c>
      <c r="AG16" s="7">
        <f t="shared" si="21"/>
        <v>0</v>
      </c>
      <c r="AH16" s="79"/>
      <c r="AI16" s="79"/>
      <c r="AJ16" s="79"/>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row>
    <row r="17" spans="1:75" s="81" customFormat="1" ht="67.5" customHeight="1" thickBot="1" x14ac:dyDescent="0.25">
      <c r="A17" s="124"/>
      <c r="B17" s="124"/>
      <c r="C17" s="152"/>
      <c r="D17" s="126"/>
      <c r="E17" s="124"/>
      <c r="F17" s="73" t="s">
        <v>123</v>
      </c>
      <c r="G17" s="73" t="s">
        <v>117</v>
      </c>
      <c r="H17" s="73" t="s">
        <v>75</v>
      </c>
      <c r="I17" s="73">
        <v>3.5</v>
      </c>
      <c r="J17" s="73">
        <v>1</v>
      </c>
      <c r="K17" s="73">
        <v>2</v>
      </c>
      <c r="L17" s="73" t="s">
        <v>112</v>
      </c>
      <c r="M17" s="86">
        <f>M9</f>
        <v>1847900</v>
      </c>
      <c r="N17" s="73" t="s">
        <v>97</v>
      </c>
      <c r="O17" s="75">
        <v>0.39</v>
      </c>
      <c r="P17" s="75">
        <v>0.1</v>
      </c>
      <c r="Q17" s="75">
        <v>0.75</v>
      </c>
      <c r="R17" s="75">
        <v>0</v>
      </c>
      <c r="S17" s="76">
        <f t="shared" si="22"/>
        <v>887684.96250000002</v>
      </c>
      <c r="T17" s="77"/>
      <c r="U17" s="13">
        <f t="shared" si="10"/>
        <v>0</v>
      </c>
      <c r="V17" s="13">
        <f t="shared" si="11"/>
        <v>887684.96250000002</v>
      </c>
      <c r="W17" s="13">
        <f t="shared" si="12"/>
        <v>0</v>
      </c>
      <c r="X17" s="13">
        <f t="shared" si="13"/>
        <v>0</v>
      </c>
      <c r="Y17" s="13">
        <f t="shared" si="14"/>
        <v>0</v>
      </c>
      <c r="Z17" s="13">
        <f t="shared" si="15"/>
        <v>0</v>
      </c>
      <c r="AA17" s="78"/>
      <c r="AB17" s="7">
        <f t="shared" si="16"/>
        <v>887684.96250000002</v>
      </c>
      <c r="AC17" s="7">
        <f t="shared" si="17"/>
        <v>887684.96250000002</v>
      </c>
      <c r="AD17" s="7">
        <f t="shared" si="18"/>
        <v>0</v>
      </c>
      <c r="AE17" s="7">
        <f t="shared" si="19"/>
        <v>0</v>
      </c>
      <c r="AF17" s="7">
        <f t="shared" si="20"/>
        <v>0</v>
      </c>
      <c r="AG17" s="7">
        <f t="shared" si="21"/>
        <v>0</v>
      </c>
      <c r="AH17" s="79"/>
      <c r="AI17" s="79"/>
      <c r="AJ17" s="79"/>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row>
    <row r="18" spans="1:75" s="81" customFormat="1" ht="87" customHeight="1" thickBot="1" x14ac:dyDescent="0.25">
      <c r="A18" s="124"/>
      <c r="B18" s="124"/>
      <c r="C18" s="152"/>
      <c r="D18" s="126"/>
      <c r="E18" s="124"/>
      <c r="F18" s="73" t="s">
        <v>124</v>
      </c>
      <c r="G18" s="73" t="s">
        <v>115</v>
      </c>
      <c r="H18" s="73" t="s">
        <v>75</v>
      </c>
      <c r="I18" s="73">
        <v>3</v>
      </c>
      <c r="J18" s="73">
        <v>1</v>
      </c>
      <c r="K18" s="73">
        <v>2</v>
      </c>
      <c r="L18" s="73" t="s">
        <v>116</v>
      </c>
      <c r="M18" s="83">
        <v>3254.8</v>
      </c>
      <c r="N18" s="73" t="s">
        <v>113</v>
      </c>
      <c r="O18" s="75">
        <v>0.5</v>
      </c>
      <c r="P18" s="75">
        <v>0</v>
      </c>
      <c r="Q18" s="75">
        <v>0.5</v>
      </c>
      <c r="R18" s="75">
        <v>0.4</v>
      </c>
      <c r="S18" s="76">
        <f t="shared" si="22"/>
        <v>2441.1000000000004</v>
      </c>
      <c r="T18" s="77"/>
      <c r="U18" s="13">
        <f t="shared" si="10"/>
        <v>0</v>
      </c>
      <c r="V18" s="13">
        <f t="shared" si="11"/>
        <v>2441.1000000000004</v>
      </c>
      <c r="W18" s="13">
        <f t="shared" si="12"/>
        <v>0</v>
      </c>
      <c r="X18" s="13">
        <f t="shared" si="13"/>
        <v>0</v>
      </c>
      <c r="Y18" s="13">
        <f t="shared" si="14"/>
        <v>0</v>
      </c>
      <c r="Z18" s="13">
        <f t="shared" si="15"/>
        <v>0</v>
      </c>
      <c r="AA18" s="78"/>
      <c r="AB18" s="7">
        <f t="shared" si="16"/>
        <v>2441.1000000000004</v>
      </c>
      <c r="AC18" s="7">
        <f t="shared" si="17"/>
        <v>2441.1000000000004</v>
      </c>
      <c r="AD18" s="7">
        <f t="shared" si="18"/>
        <v>0</v>
      </c>
      <c r="AE18" s="7">
        <f t="shared" si="19"/>
        <v>0</v>
      </c>
      <c r="AF18" s="7">
        <f t="shared" si="20"/>
        <v>0</v>
      </c>
      <c r="AG18" s="7">
        <f t="shared" si="21"/>
        <v>0</v>
      </c>
      <c r="AH18" s="79"/>
      <c r="AI18" s="79"/>
      <c r="AJ18" s="79"/>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row>
    <row r="19" spans="1:75" s="81" customFormat="1" ht="92.25" customHeight="1" thickBot="1" x14ac:dyDescent="0.25">
      <c r="A19" s="73" t="s">
        <v>64</v>
      </c>
      <c r="B19" s="73" t="s">
        <v>76</v>
      </c>
      <c r="C19" s="73" t="s">
        <v>56</v>
      </c>
      <c r="D19" s="73"/>
      <c r="E19" s="73" t="s">
        <v>82</v>
      </c>
      <c r="F19" s="73" t="s">
        <v>125</v>
      </c>
      <c r="G19" s="73" t="s">
        <v>77</v>
      </c>
      <c r="H19" s="73" t="s">
        <v>57</v>
      </c>
      <c r="I19" s="73"/>
      <c r="J19" s="73"/>
      <c r="K19" s="73"/>
      <c r="L19" s="73"/>
      <c r="M19" s="7"/>
      <c r="N19" s="73"/>
      <c r="O19" s="75">
        <v>0</v>
      </c>
      <c r="P19" s="75">
        <v>0</v>
      </c>
      <c r="Q19" s="75">
        <v>0</v>
      </c>
      <c r="R19" s="75">
        <v>0</v>
      </c>
      <c r="S19" s="76">
        <f t="shared" si="22"/>
        <v>0</v>
      </c>
      <c r="T19" s="77"/>
      <c r="U19" s="13">
        <f t="shared" si="10"/>
        <v>0</v>
      </c>
      <c r="V19" s="13">
        <f t="shared" si="11"/>
        <v>0</v>
      </c>
      <c r="W19" s="13">
        <f t="shared" si="12"/>
        <v>0</v>
      </c>
      <c r="X19" s="13">
        <f t="shared" si="13"/>
        <v>0</v>
      </c>
      <c r="Y19" s="13">
        <f t="shared" si="14"/>
        <v>0</v>
      </c>
      <c r="Z19" s="13">
        <f t="shared" si="15"/>
        <v>0</v>
      </c>
      <c r="AA19" s="78"/>
      <c r="AB19" s="7">
        <f t="shared" si="16"/>
        <v>0</v>
      </c>
      <c r="AC19" s="7">
        <f t="shared" si="17"/>
        <v>0</v>
      </c>
      <c r="AD19" s="7">
        <f t="shared" si="18"/>
        <v>0</v>
      </c>
      <c r="AE19" s="7">
        <f t="shared" si="19"/>
        <v>0</v>
      </c>
      <c r="AF19" s="7">
        <f t="shared" si="20"/>
        <v>0</v>
      </c>
      <c r="AG19" s="7">
        <f t="shared" si="21"/>
        <v>0</v>
      </c>
      <c r="AH19" s="79"/>
      <c r="AI19" s="79"/>
      <c r="AJ19" s="79"/>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row>
    <row r="20" spans="1:75" s="81" customFormat="1" ht="105.75" customHeight="1" thickBot="1" x14ac:dyDescent="0.25">
      <c r="A20" s="122" t="s">
        <v>78</v>
      </c>
      <c r="B20" s="122" t="s">
        <v>79</v>
      </c>
      <c r="C20" s="122" t="s">
        <v>80</v>
      </c>
      <c r="D20" s="125"/>
      <c r="E20" s="122" t="s">
        <v>83</v>
      </c>
      <c r="F20" s="73" t="s">
        <v>126</v>
      </c>
      <c r="G20" s="73" t="s">
        <v>84</v>
      </c>
      <c r="H20" s="73"/>
      <c r="I20" s="73"/>
      <c r="J20" s="73"/>
      <c r="K20" s="73"/>
      <c r="L20" s="73"/>
      <c r="M20" s="73"/>
      <c r="N20" s="73"/>
      <c r="O20" s="75">
        <v>0</v>
      </c>
      <c r="P20" s="75">
        <v>0</v>
      </c>
      <c r="Q20" s="75">
        <v>0</v>
      </c>
      <c r="R20" s="75">
        <v>0</v>
      </c>
      <c r="S20" s="76">
        <f t="shared" si="22"/>
        <v>0</v>
      </c>
      <c r="T20" s="77"/>
      <c r="U20" s="13">
        <f t="shared" si="10"/>
        <v>0</v>
      </c>
      <c r="V20" s="13">
        <f t="shared" si="11"/>
        <v>0</v>
      </c>
      <c r="W20" s="13">
        <f t="shared" si="12"/>
        <v>0</v>
      </c>
      <c r="X20" s="13">
        <f t="shared" si="13"/>
        <v>0</v>
      </c>
      <c r="Y20" s="13">
        <f t="shared" si="14"/>
        <v>0</v>
      </c>
      <c r="Z20" s="13">
        <f t="shared" si="15"/>
        <v>0</v>
      </c>
      <c r="AA20" s="78"/>
      <c r="AB20" s="7">
        <f t="shared" si="16"/>
        <v>0</v>
      </c>
      <c r="AC20" s="7">
        <f t="shared" si="17"/>
        <v>0</v>
      </c>
      <c r="AD20" s="7">
        <f t="shared" si="18"/>
        <v>0</v>
      </c>
      <c r="AE20" s="7">
        <f t="shared" si="19"/>
        <v>0</v>
      </c>
      <c r="AF20" s="7">
        <f t="shared" si="20"/>
        <v>0</v>
      </c>
      <c r="AG20" s="7">
        <f t="shared" si="21"/>
        <v>0</v>
      </c>
      <c r="AH20" s="79"/>
      <c r="AI20" s="79"/>
      <c r="AJ20" s="79"/>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row>
    <row r="21" spans="1:75" s="81" customFormat="1" ht="51.75" thickBot="1" x14ac:dyDescent="0.25">
      <c r="A21" s="123"/>
      <c r="B21" s="123"/>
      <c r="C21" s="123"/>
      <c r="D21" s="127"/>
      <c r="E21" s="123"/>
      <c r="F21" s="73" t="s">
        <v>127</v>
      </c>
      <c r="G21" s="73" t="s">
        <v>85</v>
      </c>
      <c r="H21" s="73" t="s">
        <v>95</v>
      </c>
      <c r="I21" s="73">
        <v>1</v>
      </c>
      <c r="J21" s="73">
        <v>1</v>
      </c>
      <c r="K21" s="73">
        <v>2</v>
      </c>
      <c r="L21" s="73" t="s">
        <v>99</v>
      </c>
      <c r="M21" s="82">
        <v>2999793</v>
      </c>
      <c r="N21" s="73" t="s">
        <v>96</v>
      </c>
      <c r="O21" s="75">
        <v>0.25</v>
      </c>
      <c r="P21" s="75">
        <v>0</v>
      </c>
      <c r="Q21" s="75">
        <v>0</v>
      </c>
      <c r="R21" s="75">
        <v>0</v>
      </c>
      <c r="S21" s="76">
        <f t="shared" si="22"/>
        <v>2249844.75</v>
      </c>
      <c r="T21" s="77"/>
      <c r="U21" s="13">
        <f t="shared" si="10"/>
        <v>0</v>
      </c>
      <c r="V21" s="13">
        <f t="shared" si="11"/>
        <v>2249844.75</v>
      </c>
      <c r="W21" s="13">
        <f t="shared" si="12"/>
        <v>0</v>
      </c>
      <c r="X21" s="13">
        <f t="shared" si="13"/>
        <v>0</v>
      </c>
      <c r="Y21" s="13">
        <f t="shared" si="14"/>
        <v>0</v>
      </c>
      <c r="Z21" s="13">
        <f t="shared" si="15"/>
        <v>0</v>
      </c>
      <c r="AA21" s="78"/>
      <c r="AB21" s="7">
        <f t="shared" si="16"/>
        <v>2249844.75</v>
      </c>
      <c r="AC21" s="7">
        <f t="shared" si="17"/>
        <v>2249844.75</v>
      </c>
      <c r="AD21" s="7">
        <f t="shared" si="18"/>
        <v>0</v>
      </c>
      <c r="AE21" s="7">
        <f t="shared" si="19"/>
        <v>0</v>
      </c>
      <c r="AF21" s="7">
        <f t="shared" si="20"/>
        <v>0</v>
      </c>
      <c r="AG21" s="7">
        <f t="shared" si="21"/>
        <v>0</v>
      </c>
      <c r="AH21" s="79"/>
      <c r="AI21" s="79"/>
      <c r="AJ21" s="79"/>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row>
    <row r="22" spans="1:75" s="81" customFormat="1" ht="42.75" customHeight="1" thickBot="1" x14ac:dyDescent="0.25">
      <c r="A22" s="73" t="s">
        <v>62</v>
      </c>
      <c r="B22" s="73" t="s">
        <v>73</v>
      </c>
      <c r="C22" s="73" t="s">
        <v>50</v>
      </c>
      <c r="D22" s="83">
        <v>999911</v>
      </c>
      <c r="E22" s="73"/>
      <c r="F22" s="73"/>
      <c r="G22" s="73"/>
      <c r="H22" s="73" t="s">
        <v>63</v>
      </c>
      <c r="I22" s="73"/>
      <c r="J22" s="73"/>
      <c r="K22" s="73"/>
      <c r="L22" s="73"/>
      <c r="M22" s="73"/>
      <c r="N22" s="73"/>
      <c r="O22" s="75">
        <v>0</v>
      </c>
      <c r="P22" s="75">
        <v>0</v>
      </c>
      <c r="Q22" s="75">
        <v>0</v>
      </c>
      <c r="R22" s="75">
        <v>0</v>
      </c>
      <c r="S22" s="76">
        <f t="shared" si="22"/>
        <v>0</v>
      </c>
      <c r="T22" s="77"/>
      <c r="U22" s="13">
        <f t="shared" si="10"/>
        <v>0</v>
      </c>
      <c r="V22" s="13">
        <f t="shared" si="11"/>
        <v>0</v>
      </c>
      <c r="W22" s="13">
        <f t="shared" si="12"/>
        <v>0</v>
      </c>
      <c r="X22" s="13">
        <f t="shared" si="13"/>
        <v>0</v>
      </c>
      <c r="Y22" s="13">
        <f t="shared" si="14"/>
        <v>0</v>
      </c>
      <c r="Z22" s="13">
        <f t="shared" si="15"/>
        <v>0</v>
      </c>
      <c r="AA22" s="78"/>
      <c r="AB22" s="7">
        <f t="shared" si="16"/>
        <v>0</v>
      </c>
      <c r="AC22" s="7">
        <f t="shared" si="17"/>
        <v>0</v>
      </c>
      <c r="AD22" s="7">
        <f t="shared" si="18"/>
        <v>0</v>
      </c>
      <c r="AE22" s="7">
        <f t="shared" si="19"/>
        <v>0</v>
      </c>
      <c r="AF22" s="7">
        <f t="shared" si="20"/>
        <v>0</v>
      </c>
      <c r="AG22" s="7">
        <f t="shared" si="21"/>
        <v>0</v>
      </c>
      <c r="AH22" s="79"/>
      <c r="AI22" s="79"/>
      <c r="AJ22" s="79"/>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row>
    <row r="23" spans="1:75" s="81" customFormat="1" ht="35.25" customHeight="1" thickBot="1" x14ac:dyDescent="0.25">
      <c r="A23" s="122" t="s">
        <v>65</v>
      </c>
      <c r="B23" s="122" t="s">
        <v>74</v>
      </c>
      <c r="C23" s="122" t="s">
        <v>81</v>
      </c>
      <c r="D23" s="125" t="s">
        <v>66</v>
      </c>
      <c r="E23" s="122"/>
      <c r="F23" s="73" t="s">
        <v>128</v>
      </c>
      <c r="G23" s="73"/>
      <c r="H23" s="73"/>
      <c r="I23" s="73"/>
      <c r="J23" s="73"/>
      <c r="K23" s="73"/>
      <c r="L23" s="73"/>
      <c r="M23" s="73"/>
      <c r="N23" s="73"/>
      <c r="O23" s="75">
        <v>0</v>
      </c>
      <c r="P23" s="75">
        <v>0</v>
      </c>
      <c r="Q23" s="75">
        <v>0</v>
      </c>
      <c r="R23" s="75">
        <v>0</v>
      </c>
      <c r="S23" s="76">
        <f t="shared" si="22"/>
        <v>0</v>
      </c>
      <c r="T23" s="77"/>
      <c r="U23" s="13">
        <f t="shared" si="10"/>
        <v>0</v>
      </c>
      <c r="V23" s="13">
        <f t="shared" si="11"/>
        <v>0</v>
      </c>
      <c r="W23" s="13">
        <f t="shared" si="12"/>
        <v>0</v>
      </c>
      <c r="X23" s="13">
        <f t="shared" si="13"/>
        <v>0</v>
      </c>
      <c r="Y23" s="13">
        <f t="shared" si="14"/>
        <v>0</v>
      </c>
      <c r="Z23" s="13">
        <f t="shared" si="15"/>
        <v>0</v>
      </c>
      <c r="AA23" s="78"/>
      <c r="AB23" s="7">
        <f t="shared" si="16"/>
        <v>0</v>
      </c>
      <c r="AC23" s="7">
        <f t="shared" si="17"/>
        <v>0</v>
      </c>
      <c r="AD23" s="7">
        <f t="shared" si="18"/>
        <v>0</v>
      </c>
      <c r="AE23" s="7">
        <f t="shared" si="19"/>
        <v>0</v>
      </c>
      <c r="AF23" s="7">
        <f t="shared" si="20"/>
        <v>0</v>
      </c>
      <c r="AG23" s="7">
        <f t="shared" si="21"/>
        <v>0</v>
      </c>
      <c r="AH23" s="79"/>
      <c r="AI23" s="79"/>
      <c r="AJ23" s="79"/>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row>
    <row r="24" spans="1:75" s="81" customFormat="1" ht="131.25" customHeight="1" thickBot="1" x14ac:dyDescent="0.25">
      <c r="A24" s="124"/>
      <c r="B24" s="124"/>
      <c r="C24" s="124"/>
      <c r="D24" s="126"/>
      <c r="E24" s="124"/>
      <c r="F24" s="120" t="s">
        <v>129</v>
      </c>
      <c r="G24" s="122" t="s">
        <v>105</v>
      </c>
      <c r="H24" s="73" t="s">
        <v>109</v>
      </c>
      <c r="I24" s="73">
        <v>23</v>
      </c>
      <c r="J24" s="73">
        <v>2</v>
      </c>
      <c r="K24" s="73">
        <v>2</v>
      </c>
      <c r="L24" s="73" t="s">
        <v>106</v>
      </c>
      <c r="M24" s="83">
        <v>2646.84</v>
      </c>
      <c r="N24" s="73" t="s">
        <v>130</v>
      </c>
      <c r="O24" s="75">
        <v>0</v>
      </c>
      <c r="P24" s="75">
        <v>0</v>
      </c>
      <c r="Q24" s="75">
        <v>0.5</v>
      </c>
      <c r="R24" s="75">
        <v>0</v>
      </c>
      <c r="S24" s="76">
        <f t="shared" si="22"/>
        <v>30438.660000000003</v>
      </c>
      <c r="T24" s="77"/>
      <c r="U24" s="13">
        <f t="shared" si="10"/>
        <v>0</v>
      </c>
      <c r="V24" s="13">
        <f t="shared" si="11"/>
        <v>30438.660000000003</v>
      </c>
      <c r="W24" s="13">
        <f t="shared" si="12"/>
        <v>30438.660000000003</v>
      </c>
      <c r="X24" s="13">
        <f t="shared" si="13"/>
        <v>0</v>
      </c>
      <c r="Y24" s="13">
        <f t="shared" si="14"/>
        <v>0</v>
      </c>
      <c r="Z24" s="13">
        <f t="shared" si="15"/>
        <v>0</v>
      </c>
      <c r="AA24" s="78"/>
      <c r="AB24" s="7">
        <f t="shared" si="16"/>
        <v>30438.660000000003</v>
      </c>
      <c r="AC24" s="7">
        <f t="shared" si="17"/>
        <v>30438.660000000003</v>
      </c>
      <c r="AD24" s="7">
        <f t="shared" si="18"/>
        <v>30438.660000000003</v>
      </c>
      <c r="AE24" s="7">
        <f t="shared" si="19"/>
        <v>0</v>
      </c>
      <c r="AF24" s="7">
        <f t="shared" si="20"/>
        <v>0</v>
      </c>
      <c r="AG24" s="7">
        <f t="shared" si="21"/>
        <v>0</v>
      </c>
      <c r="AH24" s="79"/>
      <c r="AI24" s="79"/>
      <c r="AJ24" s="79"/>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row>
    <row r="25" spans="1:75" s="81" customFormat="1" ht="100.5" customHeight="1" thickBot="1" x14ac:dyDescent="0.25">
      <c r="A25" s="123"/>
      <c r="B25" s="123"/>
      <c r="C25" s="123"/>
      <c r="D25" s="127"/>
      <c r="E25" s="123"/>
      <c r="F25" s="121"/>
      <c r="G25" s="123"/>
      <c r="H25" s="73" t="s">
        <v>109</v>
      </c>
      <c r="I25" s="73">
        <v>4</v>
      </c>
      <c r="J25" s="73">
        <v>3.2</v>
      </c>
      <c r="K25" s="73">
        <v>2</v>
      </c>
      <c r="L25" s="73" t="s">
        <v>131</v>
      </c>
      <c r="M25" s="82">
        <v>21036</v>
      </c>
      <c r="N25" s="87" t="s">
        <v>132</v>
      </c>
      <c r="O25" s="75">
        <v>0</v>
      </c>
      <c r="P25" s="75">
        <v>0</v>
      </c>
      <c r="Q25" s="75">
        <v>0.5</v>
      </c>
      <c r="R25" s="75">
        <v>0</v>
      </c>
      <c r="S25" s="76">
        <f t="shared" si="22"/>
        <v>42072</v>
      </c>
      <c r="T25" s="77"/>
      <c r="U25" s="13">
        <f t="shared" si="10"/>
        <v>0</v>
      </c>
      <c r="V25" s="13">
        <f t="shared" si="11"/>
        <v>42072</v>
      </c>
      <c r="W25" s="13">
        <f t="shared" si="12"/>
        <v>42072</v>
      </c>
      <c r="X25" s="13">
        <f t="shared" si="13"/>
        <v>42072</v>
      </c>
      <c r="Y25" s="13">
        <f t="shared" si="14"/>
        <v>42072</v>
      </c>
      <c r="Z25" s="13">
        <f t="shared" si="15"/>
        <v>0</v>
      </c>
      <c r="AA25" s="78"/>
      <c r="AB25" s="7">
        <f t="shared" si="16"/>
        <v>42072</v>
      </c>
      <c r="AC25" s="7">
        <f t="shared" si="17"/>
        <v>42072</v>
      </c>
      <c r="AD25" s="7">
        <f t="shared" si="18"/>
        <v>42072</v>
      </c>
      <c r="AE25" s="7">
        <f t="shared" si="19"/>
        <v>42072</v>
      </c>
      <c r="AF25" s="7">
        <f t="shared" si="20"/>
        <v>42072</v>
      </c>
      <c r="AG25" s="7">
        <f t="shared" si="21"/>
        <v>0</v>
      </c>
      <c r="AH25" s="79"/>
      <c r="AI25" s="79"/>
      <c r="AJ25" s="79"/>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row>
    <row r="26" spans="1:75" ht="13.5" thickBot="1" x14ac:dyDescent="0.25">
      <c r="D26" s="89"/>
      <c r="O26" s="91"/>
      <c r="P26" s="91"/>
      <c r="Q26" s="91"/>
      <c r="R26" s="91"/>
      <c r="S26" s="8"/>
      <c r="T26" s="92"/>
      <c r="U26" s="14"/>
      <c r="V26" s="14"/>
      <c r="W26" s="14"/>
      <c r="X26" s="14"/>
      <c r="Y26" s="14"/>
      <c r="Z26" s="14"/>
      <c r="AA26" s="93"/>
      <c r="AB26" s="8"/>
      <c r="AC26" s="8"/>
      <c r="AD26" s="8"/>
      <c r="AE26" s="8"/>
      <c r="AF26" s="8"/>
      <c r="AG26" s="8"/>
    </row>
    <row r="27" spans="1:75" ht="16.5" thickBot="1" x14ac:dyDescent="0.3">
      <c r="A27" s="94" t="s">
        <v>8</v>
      </c>
      <c r="B27" s="95"/>
      <c r="C27" s="95"/>
      <c r="D27" s="83">
        <f>SUM(D8:D23)</f>
        <v>1673753</v>
      </c>
      <c r="E27" s="95"/>
      <c r="F27" s="95"/>
      <c r="G27" s="95"/>
      <c r="H27" s="95"/>
      <c r="I27" s="95"/>
      <c r="J27" s="95"/>
      <c r="K27" s="95"/>
      <c r="L27" s="95"/>
      <c r="M27" s="3"/>
      <c r="N27" s="95"/>
      <c r="O27" s="96"/>
      <c r="P27" s="96"/>
      <c r="Q27" s="96"/>
      <c r="R27" s="94" t="s">
        <v>8</v>
      </c>
      <c r="S27" s="97">
        <f>SUM(S8:S25)</f>
        <v>15913293.237500001</v>
      </c>
      <c r="T27" s="92"/>
      <c r="U27" s="15">
        <f t="shared" ref="U27:Z27" si="23">SUM(U8:U25)</f>
        <v>0</v>
      </c>
      <c r="V27" s="15">
        <f t="shared" si="23"/>
        <v>15913293.237500001</v>
      </c>
      <c r="W27" s="15">
        <f t="shared" si="23"/>
        <v>72510.66</v>
      </c>
      <c r="X27" s="15">
        <f t="shared" si="23"/>
        <v>42072</v>
      </c>
      <c r="Y27" s="15">
        <f t="shared" si="23"/>
        <v>42072</v>
      </c>
      <c r="Z27" s="15">
        <f t="shared" si="23"/>
        <v>0</v>
      </c>
      <c r="AA27" s="93"/>
      <c r="AB27" s="10"/>
      <c r="AC27" s="10"/>
      <c r="AD27" s="10"/>
      <c r="AE27" s="10"/>
      <c r="AF27" s="10"/>
      <c r="AG27" s="10"/>
    </row>
    <row r="28" spans="1:75" x14ac:dyDescent="0.2">
      <c r="T28" s="98"/>
      <c r="U28" s="14"/>
      <c r="V28" s="14"/>
      <c r="W28" s="14"/>
      <c r="X28" s="14"/>
      <c r="Y28" s="14"/>
      <c r="Z28" s="14"/>
      <c r="AB28" s="2"/>
      <c r="AC28" s="2"/>
      <c r="AD28" s="2"/>
      <c r="AE28" s="2"/>
      <c r="AF28" s="2"/>
      <c r="AG28" s="3"/>
    </row>
    <row r="29" spans="1:75" ht="20.100000000000001" customHeight="1" x14ac:dyDescent="0.2">
      <c r="R29" s="99" t="s">
        <v>9</v>
      </c>
      <c r="S29" s="100"/>
      <c r="T29" s="101"/>
      <c r="U29" s="15">
        <f>+U27</f>
        <v>0</v>
      </c>
      <c r="V29" s="15">
        <f>+V27/(1+W6)</f>
        <v>15525164.134146344</v>
      </c>
      <c r="W29" s="15">
        <f>+W27/((1+W6)*(1+W6))</f>
        <v>69016.690065437244</v>
      </c>
      <c r="X29" s="15">
        <f>+X27/((1+W6)*(1+W6)*(1+W6))</f>
        <v>39068.034416215669</v>
      </c>
      <c r="Y29" s="15">
        <f>+Y27/((1+W6)*(1+W6)*(1+W6)*(1+W6))</f>
        <v>38115.15552801529</v>
      </c>
      <c r="Z29" s="15">
        <f>+Z27/((1+W6)*(1+W6)*(1+W6)*(1+W6)*(1+W6))</f>
        <v>0</v>
      </c>
      <c r="AA29" s="102"/>
      <c r="AB29" s="10"/>
      <c r="AC29" s="10"/>
      <c r="AD29" s="10"/>
      <c r="AE29" s="10"/>
      <c r="AF29" s="10"/>
      <c r="AG29" s="10"/>
    </row>
    <row r="30" spans="1:75" ht="20.100000000000001" customHeight="1" x14ac:dyDescent="0.2">
      <c r="R30" s="103" t="s">
        <v>10</v>
      </c>
      <c r="S30" s="104"/>
      <c r="T30" s="105"/>
      <c r="U30" s="106"/>
      <c r="V30" s="16"/>
      <c r="W30" s="16"/>
      <c r="X30" s="16"/>
      <c r="Y30" s="17"/>
      <c r="Z30" s="15">
        <f>SUM(U29:Z29)</f>
        <v>15671364.014156012</v>
      </c>
      <c r="AB30" s="10"/>
      <c r="AC30" s="10"/>
      <c r="AD30" s="10"/>
      <c r="AE30" s="10"/>
      <c r="AF30" s="10"/>
      <c r="AG30" s="10"/>
    </row>
    <row r="31" spans="1:75" ht="20.100000000000001" customHeight="1" x14ac:dyDescent="0.2">
      <c r="R31" s="5" t="s">
        <v>39</v>
      </c>
      <c r="S31" s="107"/>
      <c r="T31" s="29"/>
      <c r="U31" s="108"/>
      <c r="V31" s="109"/>
      <c r="W31" s="109"/>
      <c r="X31" s="109"/>
      <c r="Y31" s="109"/>
      <c r="Z31" s="18">
        <f>+Z30-D27</f>
        <v>13997611.014156012</v>
      </c>
      <c r="AB31" s="10"/>
      <c r="AC31" s="10"/>
      <c r="AD31" s="10"/>
      <c r="AE31" s="10"/>
      <c r="AF31" s="10"/>
      <c r="AG31" s="11"/>
    </row>
    <row r="32" spans="1:75" ht="20.100000000000001" customHeight="1" x14ac:dyDescent="0.2">
      <c r="F32" s="88" t="s">
        <v>49</v>
      </c>
      <c r="R32" s="6" t="s">
        <v>40</v>
      </c>
      <c r="S32" s="104"/>
      <c r="T32" s="29"/>
      <c r="U32" s="110"/>
      <c r="V32" s="111"/>
      <c r="W32" s="111"/>
      <c r="X32" s="111"/>
      <c r="Y32" s="112"/>
      <c r="Z32" s="9"/>
      <c r="AB32" s="10"/>
      <c r="AC32" s="10"/>
      <c r="AD32" s="10"/>
      <c r="AE32" s="10"/>
      <c r="AF32" s="10"/>
      <c r="AG32" s="11"/>
    </row>
    <row r="33" spans="18:33" ht="20.100000000000001" customHeight="1" x14ac:dyDescent="0.2">
      <c r="R33" s="5" t="s">
        <v>41</v>
      </c>
      <c r="S33" s="107"/>
      <c r="T33" s="29"/>
      <c r="U33" s="113"/>
      <c r="V33" s="95"/>
      <c r="W33" s="95"/>
      <c r="X33" s="95"/>
      <c r="Y33" s="95"/>
      <c r="Z33" s="4">
        <f>+Z30/D27</f>
        <v>9.3630087678146126</v>
      </c>
      <c r="AB33" s="95"/>
      <c r="AC33" s="95"/>
      <c r="AD33" s="95"/>
      <c r="AE33" s="95"/>
      <c r="AF33" s="95"/>
      <c r="AG33" s="11"/>
    </row>
    <row r="34" spans="18:33" ht="20.100000000000001" customHeight="1" x14ac:dyDescent="0.2">
      <c r="R34" s="114" t="s">
        <v>48</v>
      </c>
      <c r="S34" s="104"/>
      <c r="T34" s="115"/>
      <c r="U34" s="116"/>
      <c r="V34" s="117"/>
      <c r="W34" s="117"/>
      <c r="X34" s="117"/>
      <c r="Y34" s="117"/>
      <c r="Z34" s="118"/>
      <c r="AA34" s="113"/>
      <c r="AB34" s="95"/>
      <c r="AC34" s="95"/>
      <c r="AD34" s="95"/>
      <c r="AE34" s="95"/>
      <c r="AF34" s="95"/>
      <c r="AG34" s="95"/>
    </row>
    <row r="35" spans="18:33" x14ac:dyDescent="0.2">
      <c r="T35" s="119"/>
    </row>
    <row r="36" spans="18:33" x14ac:dyDescent="0.2">
      <c r="AB36" s="95"/>
      <c r="AC36" s="95"/>
      <c r="AD36" s="95"/>
      <c r="AE36" s="95"/>
      <c r="AF36" s="95"/>
      <c r="AG36" s="3"/>
    </row>
    <row r="37" spans="18:33" x14ac:dyDescent="0.2">
      <c r="AB37" s="95"/>
      <c r="AC37" s="1"/>
      <c r="AD37" s="1"/>
      <c r="AE37" s="1"/>
      <c r="AF37" s="1"/>
      <c r="AG37" s="3"/>
    </row>
    <row r="38" spans="18:33" x14ac:dyDescent="0.2">
      <c r="AB38" s="95"/>
      <c r="AC38" s="1"/>
      <c r="AD38" s="1"/>
      <c r="AE38" s="1"/>
      <c r="AF38" s="1"/>
      <c r="AG38" s="3"/>
    </row>
    <row r="39" spans="18:33" x14ac:dyDescent="0.2">
      <c r="AB39" s="95"/>
      <c r="AC39" s="1"/>
      <c r="AD39" s="1"/>
      <c r="AE39" s="1"/>
      <c r="AF39" s="1"/>
      <c r="AG39" s="3"/>
    </row>
    <row r="40" spans="18:33" x14ac:dyDescent="0.2">
      <c r="AB40" s="2"/>
      <c r="AC40" s="2"/>
      <c r="AD40" s="2"/>
      <c r="AE40" s="2"/>
      <c r="AF40" s="2"/>
      <c r="AG40" s="3"/>
    </row>
  </sheetData>
  <sheetProtection password="CAB5" sheet="1" objects="1" scenarios="1"/>
  <mergeCells count="43">
    <mergeCell ref="F10:F14"/>
    <mergeCell ref="A20:A21"/>
    <mergeCell ref="B20:B21"/>
    <mergeCell ref="C20:C21"/>
    <mergeCell ref="D20:D21"/>
    <mergeCell ref="E20:E21"/>
    <mergeCell ref="A15:A18"/>
    <mergeCell ref="B15:B18"/>
    <mergeCell ref="C15:C18"/>
    <mergeCell ref="D15:D18"/>
    <mergeCell ref="E15:E18"/>
    <mergeCell ref="A8:A14"/>
    <mergeCell ref="B8:B14"/>
    <mergeCell ref="C8:C14"/>
    <mergeCell ref="D8:D14"/>
    <mergeCell ref="E8:E14"/>
    <mergeCell ref="P6:P7"/>
    <mergeCell ref="O6:O7"/>
    <mergeCell ref="F5:N5"/>
    <mergeCell ref="O4:P4"/>
    <mergeCell ref="AB6:AC6"/>
    <mergeCell ref="S6:S7"/>
    <mergeCell ref="AB5:AG5"/>
    <mergeCell ref="AF6:AG6"/>
    <mergeCell ref="R6:R7"/>
    <mergeCell ref="Q6:Q7"/>
    <mergeCell ref="U5:Z5"/>
    <mergeCell ref="U6:V6"/>
    <mergeCell ref="Y6:Z6"/>
    <mergeCell ref="A1:H1"/>
    <mergeCell ref="A6:A7"/>
    <mergeCell ref="B6:B7"/>
    <mergeCell ref="C6:C7"/>
    <mergeCell ref="D6:D7"/>
    <mergeCell ref="E6:E7"/>
    <mergeCell ref="C5:D5"/>
    <mergeCell ref="F24:F25"/>
    <mergeCell ref="G24:G25"/>
    <mergeCell ref="A23:A25"/>
    <mergeCell ref="C23:C25"/>
    <mergeCell ref="B23:B25"/>
    <mergeCell ref="D23:D25"/>
    <mergeCell ref="E23:E25"/>
  </mergeCells>
  <phoneticPr fontId="0" type="noConversion"/>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impact map</vt:lpstr>
    </vt:vector>
  </TitlesOfParts>
  <Company>betamodel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Nicholls</dc:creator>
  <cp:lastModifiedBy>Sam Rauschenberg</cp:lastModifiedBy>
  <dcterms:created xsi:type="dcterms:W3CDTF">2008-09-14T13:53:09Z</dcterms:created>
  <dcterms:modified xsi:type="dcterms:W3CDTF">2015-06-05T17:39:09Z</dcterms:modified>
</cp:coreProperties>
</file>